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updateLinks="never" codeName="ThisWorkbook"/>
  <xr:revisionPtr revIDLastSave="0" documentId="8_{CE1B6079-EE05-4C47-A926-82218877F8D1}" xr6:coauthVersionLast="45" xr6:coauthVersionMax="45" xr10:uidLastSave="{00000000-0000-0000-0000-000000000000}"/>
  <workbookProtection workbookPassword="9546" lockStructure="1"/>
  <bookViews>
    <workbookView xWindow="28680" yWindow="-120" windowWidth="29040" windowHeight="15840" xr2:uid="{00000000-000D-0000-FFFF-FFFF00000000}"/>
  </bookViews>
  <sheets>
    <sheet name="変更依頼シート" sheetId="1" r:id="rId1"/>
    <sheet name="【見本】" sheetId="2" r:id="rId2"/>
    <sheet name="参照" sheetId="3" state="hidden" r:id="rId3"/>
  </sheets>
  <definedNames>
    <definedName name="_xlnm.Print_Area" localSheetId="1">【見本】!$A$1:$M$63</definedName>
    <definedName name="_xlnm.Print_Area" localSheetId="0">変更依頼シート!$A$1:$S$65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13" i="1"/>
  <c r="Q32" i="3" l="1"/>
  <c r="C1" i="3"/>
  <c r="K25" i="3" l="1"/>
  <c r="K24" i="3"/>
  <c r="O30" i="1"/>
  <c r="O23" i="1"/>
  <c r="O35" i="1"/>
  <c r="O24" i="1"/>
  <c r="O29" i="1"/>
  <c r="O37" i="1"/>
  <c r="O21" i="1"/>
  <c r="O34" i="1"/>
  <c r="O19" i="1"/>
  <c r="O54" i="1"/>
  <c r="O32" i="1"/>
  <c r="O33" i="1"/>
  <c r="O36" i="1"/>
  <c r="O31" i="1"/>
  <c r="O28" i="1"/>
  <c r="O40" i="3" l="1"/>
  <c r="O38" i="3"/>
  <c r="O36" i="3"/>
  <c r="O29" i="3"/>
  <c r="J2" i="3" l="1"/>
  <c r="K20" i="3" s="1"/>
  <c r="O16" i="3"/>
  <c r="O14" i="3"/>
  <c r="O12" i="3"/>
  <c r="O5" i="3"/>
  <c r="K5" i="3" l="1"/>
  <c r="J26" i="3"/>
  <c r="K44" i="3" s="1"/>
  <c r="K8" i="3"/>
  <c r="L8" i="3" s="1"/>
  <c r="K2" i="3"/>
  <c r="K23" i="3"/>
  <c r="L23" i="3" s="1"/>
  <c r="N22" i="3" s="1"/>
  <c r="K15" i="3"/>
  <c r="L15" i="3" s="1"/>
  <c r="K18" i="3"/>
  <c r="L18" i="3" s="1"/>
  <c r="K3" i="3"/>
  <c r="K10" i="3"/>
  <c r="L10" i="3" s="1"/>
  <c r="K21" i="3"/>
  <c r="K4" i="3"/>
  <c r="K12" i="3"/>
  <c r="L12" i="3" s="1"/>
  <c r="K16" i="3"/>
  <c r="L16" i="3" s="1"/>
  <c r="K14" i="3"/>
  <c r="L14" i="3" s="1"/>
  <c r="K17" i="3"/>
  <c r="K19" i="3"/>
  <c r="L19" i="3" s="1"/>
  <c r="K22" i="3"/>
  <c r="K6" i="3"/>
  <c r="K7" i="3"/>
  <c r="L7" i="3" s="1"/>
  <c r="K9" i="3"/>
  <c r="L9" i="3" s="1"/>
  <c r="K11" i="3"/>
  <c r="L11" i="3" s="1"/>
  <c r="K13" i="3"/>
  <c r="L13" i="3" s="1"/>
  <c r="K43" i="3" l="1"/>
  <c r="K33" i="3"/>
  <c r="K29" i="3"/>
  <c r="K27" i="3"/>
  <c r="K46" i="3"/>
  <c r="K39" i="3"/>
  <c r="K38" i="3"/>
  <c r="L38" i="3" s="1"/>
  <c r="K34" i="3"/>
  <c r="K30" i="3"/>
  <c r="K41" i="3"/>
  <c r="K40" i="3"/>
  <c r="K35" i="3"/>
  <c r="K31" i="3"/>
  <c r="K28" i="3"/>
  <c r="K47" i="3"/>
  <c r="K45" i="3"/>
  <c r="K42" i="3"/>
  <c r="K37" i="3"/>
  <c r="K36" i="3"/>
  <c r="K32" i="3"/>
  <c r="K26" i="3"/>
  <c r="L2" i="3"/>
  <c r="N4" i="3"/>
  <c r="N21" i="3"/>
  <c r="N19" i="3"/>
  <c r="N3" i="3"/>
  <c r="N14" i="3"/>
  <c r="N10" i="3"/>
  <c r="N12" i="3"/>
  <c r="N8" i="3"/>
  <c r="N15" i="3"/>
  <c r="N9" i="3"/>
  <c r="N6" i="3"/>
  <c r="N7" i="3"/>
  <c r="N18" i="3"/>
  <c r="N17" i="3"/>
  <c r="N20" i="3"/>
  <c r="N11" i="3"/>
  <c r="L6" i="3"/>
  <c r="N5" i="3" s="1"/>
  <c r="L17" i="3"/>
  <c r="N16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54" i="3"/>
  <c r="C54" i="3" s="1"/>
  <c r="B55" i="3"/>
  <c r="C55" i="3" s="1"/>
  <c r="B56" i="3"/>
  <c r="C56" i="3" s="1"/>
  <c r="B57" i="3"/>
  <c r="C57" i="3" s="1"/>
  <c r="B58" i="3"/>
  <c r="C58" i="3" s="1"/>
  <c r="B59" i="3"/>
  <c r="C59" i="3" s="1"/>
  <c r="B60" i="3"/>
  <c r="C60" i="3" s="1"/>
  <c r="B61" i="3"/>
  <c r="C61" i="3" s="1"/>
  <c r="B62" i="3"/>
  <c r="C62" i="3" s="1"/>
  <c r="B63" i="3"/>
  <c r="C63" i="3" s="1"/>
  <c r="N44" i="3" l="1"/>
  <c r="N43" i="3"/>
  <c r="N27" i="3"/>
  <c r="L36" i="3"/>
  <c r="N35" i="3" s="1"/>
  <c r="L47" i="3"/>
  <c r="N46" i="3" s="1"/>
  <c r="L37" i="3"/>
  <c r="N36" i="3" s="1"/>
  <c r="N28" i="3"/>
  <c r="L41" i="3"/>
  <c r="N40" i="3" s="1"/>
  <c r="L39" i="3"/>
  <c r="N38" i="3" s="1"/>
  <c r="L26" i="3"/>
  <c r="N26" i="3" s="1"/>
  <c r="L42" i="3"/>
  <c r="N41" i="3" s="1"/>
  <c r="L31" i="3"/>
  <c r="N30" i="3" s="1"/>
  <c r="L30" i="3"/>
  <c r="N29" i="3" s="1"/>
  <c r="L33" i="3"/>
  <c r="N32" i="3" s="1"/>
  <c r="L40" i="3"/>
  <c r="N39" i="3" s="1"/>
  <c r="L32" i="3"/>
  <c r="N31" i="3" s="1"/>
  <c r="L35" i="3"/>
  <c r="N34" i="3" s="1"/>
  <c r="L34" i="3"/>
  <c r="N33" i="3" s="1"/>
  <c r="N45" i="3"/>
  <c r="L43" i="3"/>
  <c r="N42" i="3" s="1"/>
  <c r="N2" i="3"/>
  <c r="P1" i="3" l="1"/>
  <c r="Q24" i="3" s="1"/>
  <c r="H7" i="2"/>
  <c r="Q11" i="3" l="1"/>
  <c r="Q13" i="3"/>
  <c r="Q14" i="3"/>
  <c r="Q5" i="3"/>
  <c r="Q1" i="3"/>
  <c r="Q7" i="3"/>
  <c r="Q25" i="3"/>
  <c r="Q8" i="3"/>
  <c r="Q6" i="3"/>
  <c r="Q31" i="3"/>
  <c r="Q15" i="3"/>
  <c r="Q16" i="3"/>
  <c r="Q2" i="3"/>
  <c r="Q9" i="3"/>
  <c r="Q20" i="3"/>
  <c r="Q17" i="3"/>
  <c r="Q18" i="3"/>
  <c r="Q26" i="3"/>
  <c r="Q4" i="3"/>
  <c r="Q10" i="3"/>
  <c r="Q3" i="3"/>
  <c r="Q12" i="3"/>
  <c r="Q23" i="3"/>
  <c r="Q30" i="3"/>
  <c r="Q21" i="3"/>
  <c r="Q27" i="3"/>
  <c r="Q28" i="3"/>
  <c r="Q19" i="3"/>
  <c r="Q22" i="3"/>
  <c r="Q29" i="3"/>
  <c r="B2" i="3" l="1"/>
  <c r="C2" i="3" l="1"/>
  <c r="B3" i="3"/>
  <c r="B4" i="3" s="1"/>
  <c r="C3" i="3" l="1"/>
  <c r="C4" i="3"/>
  <c r="B5" i="3"/>
  <c r="B6" i="3" l="1"/>
  <c r="C6" i="3" s="1"/>
  <c r="C5" i="3"/>
  <c r="D36" i="3" l="1"/>
  <c r="D29" i="3"/>
  <c r="D5" i="3"/>
  <c r="D46" i="3"/>
  <c r="D55" i="3"/>
  <c r="D57" i="3"/>
  <c r="D60" i="3"/>
  <c r="D1" i="3"/>
  <c r="D6" i="3"/>
  <c r="D27" i="3"/>
  <c r="D63" i="3"/>
  <c r="D49" i="3"/>
  <c r="D26" i="3"/>
  <c r="D24" i="3"/>
  <c r="D54" i="3"/>
  <c r="D51" i="3"/>
  <c r="D58" i="3"/>
  <c r="D22" i="3"/>
  <c r="D62" i="3"/>
  <c r="D47" i="3"/>
  <c r="D28" i="3"/>
  <c r="D23" i="3"/>
  <c r="D45" i="3"/>
  <c r="D11" i="3"/>
  <c r="D19" i="3"/>
  <c r="D41" i="3"/>
  <c r="D52" i="3"/>
  <c r="D17" i="3"/>
  <c r="D7" i="3"/>
  <c r="D43" i="3"/>
  <c r="D34" i="3"/>
  <c r="D13" i="3"/>
  <c r="D50" i="3"/>
  <c r="D53" i="3"/>
  <c r="D16" i="3"/>
  <c r="D35" i="3"/>
  <c r="D59" i="3"/>
  <c r="D9" i="3"/>
  <c r="D12" i="3"/>
  <c r="D42" i="3"/>
  <c r="D33" i="3"/>
  <c r="D31" i="3"/>
  <c r="D40" i="3"/>
  <c r="D38" i="3"/>
  <c r="D56" i="3"/>
  <c r="D15" i="3"/>
  <c r="D3" i="3"/>
  <c r="D61" i="3"/>
  <c r="D8" i="3"/>
  <c r="D18" i="3"/>
  <c r="D37" i="3"/>
  <c r="D48" i="3"/>
  <c r="D20" i="3"/>
  <c r="D21" i="3"/>
  <c r="D30" i="3"/>
  <c r="D10" i="3"/>
  <c r="D44" i="3"/>
  <c r="D14" i="3"/>
  <c r="D32" i="3"/>
  <c r="D2" i="3"/>
  <c r="D25" i="3"/>
  <c r="D39" i="3"/>
  <c r="D4" i="3"/>
  <c r="F144" i="3" l="1"/>
  <c r="G144" i="3" s="1"/>
  <c r="F140" i="3"/>
  <c r="G140" i="3" s="1"/>
  <c r="F136" i="3"/>
  <c r="F132" i="3"/>
  <c r="G132" i="3" s="1"/>
  <c r="F128" i="3"/>
  <c r="G128" i="3" s="1"/>
  <c r="F124" i="3"/>
  <c r="F120" i="3"/>
  <c r="G120" i="3" s="1"/>
  <c r="F116" i="3"/>
  <c r="G116" i="3" s="1"/>
  <c r="F112" i="3"/>
  <c r="F108" i="3"/>
  <c r="F104" i="3"/>
  <c r="G104" i="3" s="1"/>
  <c r="F100" i="3"/>
  <c r="G100" i="3" s="1"/>
  <c r="F96" i="3"/>
  <c r="G96" i="3" s="1"/>
  <c r="F92" i="3"/>
  <c r="F88" i="3"/>
  <c r="G88" i="3" s="1"/>
  <c r="F84" i="3"/>
  <c r="G84" i="3" s="1"/>
  <c r="F80" i="3"/>
  <c r="G80" i="3" s="1"/>
  <c r="F76" i="3"/>
  <c r="G76" i="3" s="1"/>
  <c r="F72" i="3"/>
  <c r="G72" i="3" s="1"/>
  <c r="F68" i="3"/>
  <c r="G68" i="3" s="1"/>
  <c r="F64" i="3"/>
  <c r="G64" i="3" s="1"/>
  <c r="F60" i="3"/>
  <c r="G60" i="3" s="1"/>
  <c r="F56" i="3"/>
  <c r="G56" i="3" s="1"/>
  <c r="F52" i="3"/>
  <c r="G52" i="3" s="1"/>
  <c r="F48" i="3"/>
  <c r="G48" i="3" s="1"/>
  <c r="F44" i="3"/>
  <c r="G44" i="3" s="1"/>
  <c r="F40" i="3"/>
  <c r="G40" i="3" s="1"/>
  <c r="F36" i="3"/>
  <c r="G36" i="3" s="1"/>
  <c r="F32" i="3"/>
  <c r="F28" i="3"/>
  <c r="F24" i="3"/>
  <c r="G24" i="3" s="1"/>
  <c r="F20" i="3"/>
  <c r="G20" i="3" s="1"/>
  <c r="F16" i="3"/>
  <c r="G16" i="3" s="1"/>
  <c r="F12" i="3"/>
  <c r="G12" i="3" s="1"/>
  <c r="F8" i="3"/>
  <c r="G8" i="3" s="1"/>
  <c r="F4" i="3"/>
  <c r="G4" i="3" s="1"/>
  <c r="F143" i="3"/>
  <c r="F139" i="3"/>
  <c r="G139" i="3" s="1"/>
  <c r="F135" i="3"/>
  <c r="G135" i="3" s="1"/>
  <c r="F131" i="3"/>
  <c r="G131" i="3" s="1"/>
  <c r="F127" i="3"/>
  <c r="G127" i="3" s="1"/>
  <c r="F123" i="3"/>
  <c r="G123" i="3" s="1"/>
  <c r="F119" i="3"/>
  <c r="G119" i="3" s="1"/>
  <c r="F115" i="3"/>
  <c r="G115" i="3" s="1"/>
  <c r="F111" i="3"/>
  <c r="G111" i="3" s="1"/>
  <c r="F107" i="3"/>
  <c r="G107" i="3" s="1"/>
  <c r="F103" i="3"/>
  <c r="G103" i="3" s="1"/>
  <c r="F99" i="3"/>
  <c r="G99" i="3" s="1"/>
  <c r="F95" i="3"/>
  <c r="G95" i="3" s="1"/>
  <c r="F91" i="3"/>
  <c r="G91" i="3" s="1"/>
  <c r="F87" i="3"/>
  <c r="G87" i="3" s="1"/>
  <c r="F83" i="3"/>
  <c r="G83" i="3" s="1"/>
  <c r="F79" i="3"/>
  <c r="G79" i="3" s="1"/>
  <c r="F75" i="3"/>
  <c r="G75" i="3" s="1"/>
  <c r="F71" i="3"/>
  <c r="G71" i="3" s="1"/>
  <c r="F67" i="3"/>
  <c r="G67" i="3" s="1"/>
  <c r="F63" i="3"/>
  <c r="G63" i="3" s="1"/>
  <c r="F59" i="3"/>
  <c r="G59" i="3" s="1"/>
  <c r="F55" i="3"/>
  <c r="G55" i="3" s="1"/>
  <c r="F51" i="3"/>
  <c r="G51" i="3" s="1"/>
  <c r="F47" i="3"/>
  <c r="G47" i="3" s="1"/>
  <c r="F43" i="3"/>
  <c r="F39" i="3"/>
  <c r="G39" i="3" s="1"/>
  <c r="F35" i="3"/>
  <c r="G35" i="3" s="1"/>
  <c r="F31" i="3"/>
  <c r="G31" i="3" s="1"/>
  <c r="F27" i="3"/>
  <c r="G27" i="3" s="1"/>
  <c r="F23" i="3"/>
  <c r="G23" i="3" s="1"/>
  <c r="F19" i="3"/>
  <c r="G19" i="3" s="1"/>
  <c r="F15" i="3"/>
  <c r="G15" i="3" s="1"/>
  <c r="F11" i="3"/>
  <c r="G11" i="3" s="1"/>
  <c r="F7" i="3"/>
  <c r="G7" i="3" s="1"/>
  <c r="F3" i="3"/>
  <c r="G3" i="3" s="1"/>
  <c r="F142" i="3"/>
  <c r="G142" i="3" s="1"/>
  <c r="F138" i="3"/>
  <c r="G138" i="3" s="1"/>
  <c r="F134" i="3"/>
  <c r="G134" i="3" s="1"/>
  <c r="F130" i="3"/>
  <c r="G130" i="3" s="1"/>
  <c r="F126" i="3"/>
  <c r="G126" i="3" s="1"/>
  <c r="F122" i="3"/>
  <c r="G122" i="3" s="1"/>
  <c r="F118" i="3"/>
  <c r="G118" i="3" s="1"/>
  <c r="F114" i="3"/>
  <c r="G114" i="3" s="1"/>
  <c r="F110" i="3"/>
  <c r="G110" i="3" s="1"/>
  <c r="F106" i="3"/>
  <c r="G106" i="3" s="1"/>
  <c r="F102" i="3"/>
  <c r="G102" i="3" s="1"/>
  <c r="F98" i="3"/>
  <c r="G98" i="3" s="1"/>
  <c r="F94" i="3"/>
  <c r="G94" i="3" s="1"/>
  <c r="F141" i="3"/>
  <c r="G141" i="3" s="1"/>
  <c r="F125" i="3"/>
  <c r="G125" i="3" s="1"/>
  <c r="F109" i="3"/>
  <c r="G109" i="3" s="1"/>
  <c r="F93" i="3"/>
  <c r="G93" i="3" s="1"/>
  <c r="F85" i="3"/>
  <c r="G85" i="3" s="1"/>
  <c r="F77" i="3"/>
  <c r="G77" i="3" s="1"/>
  <c r="F69" i="3"/>
  <c r="G69" i="3" s="1"/>
  <c r="F61" i="3"/>
  <c r="G61" i="3" s="1"/>
  <c r="F53" i="3"/>
  <c r="G53" i="3" s="1"/>
  <c r="F45" i="3"/>
  <c r="G45" i="3" s="1"/>
  <c r="F37" i="3"/>
  <c r="G37" i="3" s="1"/>
  <c r="F29" i="3"/>
  <c r="G29" i="3" s="1"/>
  <c r="F21" i="3"/>
  <c r="G21" i="3" s="1"/>
  <c r="F13" i="3"/>
  <c r="G13" i="3" s="1"/>
  <c r="F137" i="3"/>
  <c r="G137" i="3" s="1"/>
  <c r="F121" i="3"/>
  <c r="G121" i="3" s="1"/>
  <c r="F105" i="3"/>
  <c r="G105" i="3" s="1"/>
  <c r="F90" i="3"/>
  <c r="G90" i="3" s="1"/>
  <c r="F82" i="3"/>
  <c r="G82" i="3" s="1"/>
  <c r="F74" i="3"/>
  <c r="G74" i="3" s="1"/>
  <c r="F66" i="3"/>
  <c r="G66" i="3" s="1"/>
  <c r="F58" i="3"/>
  <c r="G58" i="3" s="1"/>
  <c r="F50" i="3"/>
  <c r="G50" i="3" s="1"/>
  <c r="F42" i="3"/>
  <c r="G42" i="3" s="1"/>
  <c r="F34" i="3"/>
  <c r="G34" i="3" s="1"/>
  <c r="F26" i="3"/>
  <c r="G26" i="3" s="1"/>
  <c r="F18" i="3"/>
  <c r="G18" i="3" s="1"/>
  <c r="F10" i="3"/>
  <c r="G10" i="3" s="1"/>
  <c r="F2" i="3"/>
  <c r="G2" i="3" s="1"/>
  <c r="F133" i="3"/>
  <c r="G133" i="3" s="1"/>
  <c r="F117" i="3"/>
  <c r="G117" i="3" s="1"/>
  <c r="F101" i="3"/>
  <c r="G101" i="3" s="1"/>
  <c r="F89" i="3"/>
  <c r="G89" i="3" s="1"/>
  <c r="F81" i="3"/>
  <c r="G81" i="3" s="1"/>
  <c r="F73" i="3"/>
  <c r="G73" i="3" s="1"/>
  <c r="F65" i="3"/>
  <c r="G65" i="3" s="1"/>
  <c r="F57" i="3"/>
  <c r="G57" i="3" s="1"/>
  <c r="F49" i="3"/>
  <c r="G49" i="3" s="1"/>
  <c r="F41" i="3"/>
  <c r="G41" i="3" s="1"/>
  <c r="F33" i="3"/>
  <c r="G33" i="3" s="1"/>
  <c r="F25" i="3"/>
  <c r="G25" i="3" s="1"/>
  <c r="F17" i="3"/>
  <c r="G17" i="3" s="1"/>
  <c r="F9" i="3"/>
  <c r="G9" i="3" s="1"/>
  <c r="F129" i="3"/>
  <c r="G129" i="3" s="1"/>
  <c r="F113" i="3"/>
  <c r="G113" i="3" s="1"/>
  <c r="F97" i="3"/>
  <c r="G97" i="3" s="1"/>
  <c r="F86" i="3"/>
  <c r="G86" i="3" s="1"/>
  <c r="F78" i="3"/>
  <c r="G78" i="3" s="1"/>
  <c r="F70" i="3"/>
  <c r="G70" i="3" s="1"/>
  <c r="F62" i="3"/>
  <c r="G62" i="3" s="1"/>
  <c r="F54" i="3"/>
  <c r="G54" i="3" s="1"/>
  <c r="F46" i="3"/>
  <c r="G46" i="3" s="1"/>
  <c r="F38" i="3"/>
  <c r="G38" i="3" s="1"/>
  <c r="F30" i="3"/>
  <c r="G30" i="3" s="1"/>
  <c r="F22" i="3"/>
  <c r="G22" i="3" s="1"/>
  <c r="F14" i="3"/>
  <c r="G14" i="3" s="1"/>
  <c r="F6" i="3"/>
  <c r="G6" i="3" s="1"/>
  <c r="F5" i="3"/>
  <c r="G5" i="3" s="1"/>
  <c r="G9" i="1"/>
  <c r="F1" i="3"/>
  <c r="G43" i="3"/>
  <c r="G108" i="3"/>
  <c r="G143" i="3"/>
  <c r="G92" i="3"/>
  <c r="G112" i="3"/>
  <c r="G28" i="3"/>
  <c r="G136" i="3"/>
  <c r="G32" i="3"/>
  <c r="G124" i="3"/>
  <c r="G1" i="3" l="1"/>
  <c r="H64" i="3" s="1"/>
  <c r="H144" i="3" l="1"/>
  <c r="H86" i="3"/>
  <c r="H52" i="3"/>
  <c r="H25" i="3"/>
  <c r="H141" i="3"/>
  <c r="H10" i="3"/>
  <c r="H47" i="3"/>
  <c r="H13" i="3"/>
  <c r="H93" i="3"/>
  <c r="H89" i="3"/>
  <c r="H124" i="3"/>
  <c r="H101" i="3"/>
  <c r="H7" i="3"/>
  <c r="H106" i="3"/>
  <c r="H69" i="3"/>
  <c r="H74" i="3"/>
  <c r="H24" i="3"/>
  <c r="H56" i="3"/>
  <c r="H4" i="3"/>
  <c r="H95" i="3"/>
  <c r="H60" i="3"/>
  <c r="H135" i="3"/>
  <c r="H116" i="3"/>
  <c r="H49" i="3"/>
  <c r="H130" i="3"/>
  <c r="H11" i="3"/>
  <c r="H137" i="3"/>
  <c r="H80" i="3"/>
  <c r="H121" i="3"/>
  <c r="H38" i="3"/>
  <c r="H131" i="3"/>
  <c r="H96" i="3"/>
  <c r="H127" i="3"/>
  <c r="H126" i="3"/>
  <c r="H67" i="3"/>
  <c r="H92" i="3"/>
  <c r="H99" i="3"/>
  <c r="H88" i="3"/>
  <c r="H20" i="3"/>
  <c r="H102" i="3"/>
  <c r="H139" i="3"/>
  <c r="H122" i="3"/>
  <c r="H107" i="3"/>
  <c r="H109" i="3"/>
  <c r="H9" i="3"/>
  <c r="H26" i="3"/>
  <c r="H48" i="3"/>
  <c r="H94" i="3"/>
  <c r="H105" i="3"/>
  <c r="H70" i="3"/>
  <c r="H54" i="3"/>
  <c r="H61" i="3"/>
  <c r="H14" i="3"/>
  <c r="H50" i="3"/>
  <c r="H104" i="3"/>
  <c r="H28" i="3"/>
  <c r="H110" i="3"/>
  <c r="H142" i="3"/>
  <c r="H125" i="3"/>
  <c r="H32" i="3"/>
  <c r="H12" i="3"/>
  <c r="H79" i="3"/>
  <c r="H78" i="3"/>
  <c r="H85" i="3"/>
  <c r="H111" i="3"/>
  <c r="H53" i="3"/>
  <c r="H27" i="3"/>
  <c r="H31" i="3"/>
  <c r="H119" i="3"/>
  <c r="H72" i="3"/>
  <c r="H120" i="3"/>
  <c r="H103" i="3"/>
  <c r="H108" i="3"/>
  <c r="H57" i="3"/>
  <c r="H23" i="3"/>
  <c r="H16" i="3"/>
  <c r="H44" i="3"/>
  <c r="H123" i="3"/>
  <c r="H55" i="3"/>
  <c r="H112" i="3"/>
  <c r="H29" i="3"/>
  <c r="H21" i="3"/>
  <c r="H5" i="3"/>
  <c r="H97" i="3"/>
  <c r="H76" i="3"/>
  <c r="H134" i="3"/>
  <c r="H98" i="3"/>
  <c r="H51" i="3"/>
  <c r="H30" i="3"/>
  <c r="H19" i="3"/>
  <c r="H132" i="3"/>
  <c r="H63" i="3"/>
  <c r="H35" i="3"/>
  <c r="H68" i="3"/>
  <c r="H59" i="3"/>
  <c r="H22" i="3"/>
  <c r="H42" i="3"/>
  <c r="H46" i="3"/>
  <c r="H143" i="3"/>
  <c r="H36" i="3"/>
  <c r="H33" i="3"/>
  <c r="H113" i="3"/>
  <c r="H18" i="3"/>
  <c r="H81" i="3"/>
  <c r="H140" i="3"/>
  <c r="H66" i="3"/>
  <c r="H37" i="3"/>
  <c r="H91" i="3"/>
  <c r="H128" i="3"/>
  <c r="H65" i="3"/>
  <c r="H58" i="3"/>
  <c r="H100" i="3"/>
  <c r="H15" i="3"/>
  <c r="H1" i="3"/>
  <c r="H3" i="3"/>
  <c r="H43" i="3"/>
  <c r="H45" i="3"/>
  <c r="H8" i="3"/>
  <c r="H129" i="3"/>
  <c r="H2" i="3"/>
  <c r="H117" i="3"/>
  <c r="H17" i="3"/>
  <c r="H90" i="3"/>
  <c r="H138" i="3"/>
  <c r="H83" i="3"/>
  <c r="H84" i="3"/>
  <c r="H133" i="3"/>
  <c r="H39" i="3"/>
  <c r="H87" i="3"/>
  <c r="H41" i="3"/>
  <c r="H82" i="3"/>
  <c r="H114" i="3"/>
  <c r="H118" i="3"/>
  <c r="H6" i="3"/>
  <c r="H115" i="3"/>
  <c r="H34" i="3"/>
  <c r="H71" i="3"/>
  <c r="H62" i="3"/>
  <c r="H75" i="3"/>
  <c r="H136" i="3"/>
  <c r="H77" i="3"/>
  <c r="H73" i="3"/>
  <c r="H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7" authorId="0" shapeId="0" xr:uid="{00000000-0006-0000-0000-000001000000}">
      <text>
        <r>
          <rPr>
            <sz val="9"/>
            <color indexed="81"/>
            <rFont val="メイリオ"/>
            <family val="3"/>
            <charset val="128"/>
          </rPr>
          <t>「機器前面」もしくは、「納品書類」をご確認ください。</t>
        </r>
      </text>
    </comment>
    <comment ref="C8" authorId="0" shapeId="0" xr:uid="{00000000-0006-0000-0000-000002000000}">
      <text>
        <r>
          <rPr>
            <sz val="9"/>
            <color indexed="81"/>
            <rFont val="メイリオ"/>
            <family val="3"/>
            <charset val="128"/>
          </rPr>
          <t xml:space="preserve">Distribution ID(ディストリビューション アイディ) は、
「機器裏側のラベル」もしくは、「ユーザポータル」にてご確認いただき、
最後の4桁ハイフン4桁を入力してください。
記載例) </t>
        </r>
        <r>
          <rPr>
            <b/>
            <sz val="9"/>
            <color indexed="81"/>
            <rFont val="メイリオ"/>
            <family val="3"/>
            <charset val="128"/>
          </rPr>
          <t xml:space="preserve">ABCD-1234 
</t>
        </r>
      </text>
    </comment>
    <comment ref="B9" authorId="0" shapeId="0" xr:uid="{00000000-0006-0000-0000-000003000000}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 ⋮  10:00   ※時間は 10分単位 での設定となります。</t>
        </r>
      </text>
    </comment>
    <comment ref="C16" authorId="0" shapeId="0" xr:uid="{00000000-0006-0000-0000-000004000000}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9" authorId="0" shapeId="0" xr:uid="{00000000-0006-0000-0000-000005000000}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I19" authorId="0" shapeId="0" xr:uid="{00000000-0006-0000-0000-000006000000}">
      <text>
        <r>
          <rPr>
            <sz val="9"/>
            <color indexed="81"/>
            <rFont val="メイリオ"/>
            <family val="3"/>
            <charset val="128"/>
          </rPr>
          <t>サブネットを変更する場合は、
利用するネットマスクをリストから選択してください。
例）255.255.255.0（24ビット)</t>
        </r>
      </text>
    </comment>
    <comment ref="F20" authorId="0" shapeId="0" xr:uid="{00000000-0006-0000-0000-000007000000}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21" authorId="0" shapeId="0" xr:uid="{00000000-0006-0000-0000-000008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22" authorId="0" shapeId="0" xr:uid="{00000000-0006-0000-0000-000009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3" authorId="0" shapeId="0" xr:uid="{00000000-0006-0000-0000-00000A000000}">
      <text>
        <r>
          <rPr>
            <sz val="9"/>
            <color indexed="81"/>
            <rFont val="メイリオ"/>
            <family val="3"/>
            <charset val="128"/>
          </rPr>
          <t>お客様環境内にある別のDNSサーバを利用する場合は、
DNSサーバのIPアドレスを入力してください。
例) 192.168.100.50
※デフォルトでは、ゲートウェイのIPアドレスが設定されています。</t>
        </r>
      </text>
    </comment>
    <comment ref="G23" authorId="0" shapeId="0" xr:uid="{00000000-0006-0000-0000-00000B000000}">
      <text>
        <r>
          <rPr>
            <sz val="9"/>
            <color indexed="81"/>
            <rFont val="メイリオ"/>
            <family val="3"/>
            <charset val="128"/>
          </rPr>
          <t>ローカル環境にあるDNSサーバを利用する場合は、
DNSサーバのプライマリIPアドレスを入力します。
例）192.168.100.200
ルータのDNSサーバ機能を利用する場合は、
ルータのIPアドレスを入力します。
例）192.168.100.1</t>
        </r>
      </text>
    </comment>
    <comment ref="G24" authorId="0" shapeId="0" xr:uid="{00000000-0006-0000-0000-00000C000000}">
      <text>
        <r>
          <rPr>
            <sz val="9"/>
            <color indexed="81"/>
            <rFont val="メイリオ"/>
            <family val="3"/>
            <charset val="128"/>
          </rPr>
          <t>ローカル環境にあるDNSサーバを利用する場合は、
DNSサーバのセカンダリIPアドレスを入力します。
例）192.168.100.201
ルータのDNSサーバ機能を利用する場合は、
プライマリにルータのIPアドレスを入力し、
セカンダリには「削除」と記載します。</t>
        </r>
      </text>
    </comment>
    <comment ref="B25" authorId="0" shapeId="0" xr:uid="{00000000-0006-0000-0000-00000D000000}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6" authorId="0" shapeId="0" xr:uid="{00000000-0006-0000-0000-00000E000000}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  <comment ref="F27" authorId="0" shapeId="0" xr:uid="{00000000-0006-0000-0000-00000F000000}">
      <text>
        <r>
          <rPr>
            <sz val="9"/>
            <color indexed="81"/>
            <rFont val="メイリオ"/>
            <family val="3"/>
            <charset val="128"/>
          </rPr>
          <t>greプロトコルは、複数設定することはできません。
必ず1つになるよう設定してください。</t>
        </r>
      </text>
    </comment>
    <comment ref="G27" authorId="0" shapeId="0" xr:uid="{00000000-0006-0000-0000-000010000000}">
      <text>
        <r>
          <rPr>
            <sz val="9"/>
            <color indexed="81"/>
            <rFont val="メイリオ"/>
            <family val="3"/>
            <charset val="128"/>
          </rPr>
          <t>同じプロトコルかつ同じポート番号を
複数のIPに転送することはできません。
例)
× tcp:80 192.168.100.100
× tcp:80 192.168.100.101</t>
        </r>
      </text>
    </comment>
    <comment ref="B54" authorId="0" shapeId="0" xr:uid="{00000000-0006-0000-0000-000011000000}">
      <text>
        <r>
          <rPr>
            <sz val="9"/>
            <color indexed="81"/>
            <rFont val="メイリオ"/>
            <family val="3"/>
            <charset val="128"/>
          </rPr>
          <t xml:space="preserve">DHCPの範囲、複合機(コピー機)などの固定アドレス利用機器と
重ならないように設定してください。
例）
・DHCPの範囲 : 192.168.100.2 から 190個
・固定IP機器用：192.168.100.192 から 10個予約
　このケースの場合は『192.168.100.202』と入力します。
※入力された値から後ろ10個のIPアドレスをリモートアクセスに利用します。
※リモートアドレスの個数(10個)は固定で変更できません。
※IPアドレスは、254以内に納まるよう調整してください。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00000000-0006-0000-0100-000001000000}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10:00</t>
        </r>
      </text>
    </comment>
    <comment ref="C14" authorId="0" shapeId="0" xr:uid="{00000000-0006-0000-0100-000002000000}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7" authorId="0" shapeId="0" xr:uid="{00000000-0006-0000-0100-000003000000}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F18" authorId="0" shapeId="0" xr:uid="{00000000-0006-0000-0100-000004000000}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19" authorId="0" shapeId="0" xr:uid="{00000000-0006-0000-0100-000005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20" authorId="0" shapeId="0" xr:uid="{00000000-0006-0000-0100-000006000000}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1" authorId="0" shapeId="0" xr:uid="{00000000-0006-0000-0100-000007000000}">
      <text>
        <r>
          <rPr>
            <sz val="9"/>
            <color indexed="81"/>
            <rFont val="メイリオ"/>
            <family val="3"/>
            <charset val="128"/>
          </rPr>
          <t>お客様環境内の別DNSサーバを利用する場合は、
サーバのIPアドレスを入力してください。</t>
        </r>
      </text>
    </comment>
    <comment ref="G21" authorId="0" shapeId="0" xr:uid="{00000000-0006-0000-0100-000008000000}">
      <text>
        <r>
          <rPr>
            <sz val="9"/>
            <color indexed="81"/>
            <rFont val="メイリオ"/>
            <family val="3"/>
            <charset val="128"/>
          </rPr>
          <t>デフォルトは、ゲートウェイのIPアドレスが設定されています。</t>
        </r>
      </text>
    </comment>
    <comment ref="B23" authorId="0" shapeId="0" xr:uid="{00000000-0006-0000-0100-000009000000}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4" authorId="0" shapeId="0" xr:uid="{00000000-0006-0000-0100-00000A000000}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  <comment ref="C40" authorId="0" shapeId="0" xr:uid="{00000000-0006-0000-0100-00000B000000}">
      <text>
        <r>
          <rPr>
            <sz val="9"/>
            <color indexed="81"/>
            <rFont val="メイリオ"/>
            <family val="3"/>
            <charset val="128"/>
          </rPr>
          <t>wpa-psk-aes（推奨）</t>
        </r>
      </text>
    </comment>
    <comment ref="B52" authorId="0" shapeId="0" xr:uid="{00000000-0006-0000-0100-00000C000000}">
      <text>
        <r>
          <rPr>
            <sz val="9"/>
            <color indexed="81"/>
            <rFont val="メイリオ"/>
            <family val="3"/>
            <charset val="128"/>
          </rPr>
          <t xml:space="preserve">DHCPの範囲、複合機(コピー機)などの固定アドレス利用機器と
重ならないように設定してください。
例）
・DHCPの範囲 : 192.168.100.2 から 190個
・固定IP機器用：192.168.100.192 から 10個予約
　このケースの場合は『192.168.100.202』と入力します。
※入力された値から後ろ10個のIPアドレスをリモートアクセスに利用します。
※リモートアドレスの個数(10個)は固定で変更できません。
※IPアドレスは、254以内に納まるよう調整してください。 </t>
        </r>
      </text>
    </comment>
  </commentList>
</comments>
</file>

<file path=xl/sharedStrings.xml><?xml version="1.0" encoding="utf-8"?>
<sst xmlns="http://schemas.openxmlformats.org/spreadsheetml/2006/main" count="312" uniqueCount="170">
  <si>
    <t>ﾌﾟﾛﾊﾞｲﾀﾞ情報
の設定</t>
    <rPh sb="8" eb="10">
      <t>ジョウホウ</t>
    </rPh>
    <rPh sb="12" eb="14">
      <t>セッテイ</t>
    </rPh>
    <phoneticPr fontId="2"/>
  </si>
  <si>
    <t>ユーザーID</t>
    <phoneticPr fontId="2"/>
  </si>
  <si>
    <t>接続パスワード</t>
    <rPh sb="0" eb="2">
      <t>セツゾク</t>
    </rPh>
    <phoneticPr fontId="2"/>
  </si>
  <si>
    <t>プライマリ</t>
    <phoneticPr fontId="2"/>
  </si>
  <si>
    <t>セカンダリ</t>
    <phoneticPr fontId="2"/>
  </si>
  <si>
    <t>LAN設定</t>
    <rPh sb="3" eb="5">
      <t>セッテイ</t>
    </rPh>
    <phoneticPr fontId="2"/>
  </si>
  <si>
    <t>デフォルト
ゲートウェイ</t>
    <phoneticPr fontId="2"/>
  </si>
  <si>
    <t>DHCP</t>
    <phoneticPr fontId="2"/>
  </si>
  <si>
    <t>割当範囲(開始)</t>
    <phoneticPr fontId="2"/>
  </si>
  <si>
    <t>割当個数</t>
    <rPh sb="2" eb="4">
      <t>コスウ</t>
    </rPh>
    <phoneticPr fontId="2"/>
  </si>
  <si>
    <t>個</t>
    <rPh sb="0" eb="1">
      <t>コ</t>
    </rPh>
    <phoneticPr fontId="2"/>
  </si>
  <si>
    <t>配布DNSサーバー</t>
    <rPh sb="0" eb="2">
      <t>ハイフ</t>
    </rPh>
    <phoneticPr fontId="2"/>
  </si>
  <si>
    <t>プライマリ</t>
    <phoneticPr fontId="2"/>
  </si>
  <si>
    <t>UPnP</t>
    <phoneticPr fontId="2"/>
  </si>
  <si>
    <t>詳細設定</t>
    <phoneticPr fontId="2"/>
  </si>
  <si>
    <t>名前</t>
    <rPh sb="0" eb="2">
      <t>ナマエ</t>
    </rPh>
    <phoneticPr fontId="2"/>
  </si>
  <si>
    <t>プロトコル</t>
    <phoneticPr fontId="2"/>
  </si>
  <si>
    <t>WAN側ポート番号</t>
    <rPh sb="3" eb="4">
      <t>ガワ</t>
    </rPh>
    <rPh sb="7" eb="9">
      <t>バンゴウ</t>
    </rPh>
    <phoneticPr fontId="2"/>
  </si>
  <si>
    <t>LAN側IPアドレス</t>
    <rPh sb="0" eb="4">
      <t>ァンガワ</t>
    </rPh>
    <phoneticPr fontId="2"/>
  </si>
  <si>
    <t>LAN側ポート番号</t>
    <rPh sb="0" eb="4">
      <t>ァンガワ</t>
    </rPh>
    <rPh sb="7" eb="9">
      <t>バンゴウ</t>
    </rPh>
    <phoneticPr fontId="2"/>
  </si>
  <si>
    <t>SSID</t>
    <phoneticPr fontId="2"/>
  </si>
  <si>
    <t>セキュリティモード</t>
    <phoneticPr fontId="2"/>
  </si>
  <si>
    <t>WPAパスフレーズ</t>
    <phoneticPr fontId="2"/>
  </si>
  <si>
    <t>WEPキー</t>
    <phoneticPr fontId="2"/>
  </si>
  <si>
    <t>IPアドレス</t>
    <phoneticPr fontId="2"/>
  </si>
  <si>
    <t>機能ON･OFF</t>
    <phoneticPr fontId="2"/>
  </si>
  <si>
    <t>サブネットマスク</t>
    <phoneticPr fontId="2"/>
  </si>
  <si>
    <t>機能ON・OFF</t>
    <rPh sb="0" eb="2">
      <t>キノウ</t>
    </rPh>
    <phoneticPr fontId="2"/>
  </si>
  <si>
    <t>■無線設定</t>
    <rPh sb="1" eb="3">
      <t>ムセン</t>
    </rPh>
    <rPh sb="3" eb="5">
      <t>セッテイ</t>
    </rPh>
    <phoneticPr fontId="2"/>
  </si>
  <si>
    <t>■基本設定</t>
    <rPh sb="1" eb="3">
      <t>キホン</t>
    </rPh>
    <rPh sb="3" eb="5">
      <t>セッテイ</t>
    </rPh>
    <phoneticPr fontId="2"/>
  </si>
  <si>
    <t>お客様名</t>
    <rPh sb="1" eb="3">
      <t>キャクサマ</t>
    </rPh>
    <rPh sb="3" eb="4">
      <t>メイ</t>
    </rPh>
    <phoneticPr fontId="2"/>
  </si>
  <si>
    <t>■お客様情報</t>
    <rPh sb="2" eb="4">
      <t>キャクサマ</t>
    </rPh>
    <rPh sb="4" eb="6">
      <t>ジョウホウ</t>
    </rPh>
    <phoneticPr fontId="2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</si>
  <si>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契約情報</t>
    </r>
    <rPh sb="1" eb="3">
      <t>ケイヤク</t>
    </rPh>
    <rPh sb="3" eb="5">
      <t>ジョウホウ</t>
    </rPh>
    <phoneticPr fontId="2"/>
  </si>
  <si>
    <t>5 GHz</t>
    <phoneticPr fontId="2"/>
  </si>
  <si>
    <t>2.4 GHz</t>
    <phoneticPr fontId="2"/>
  </si>
  <si>
    <t>契約ID(10桁)</t>
    <rPh sb="0" eb="2">
      <t>ケイヤク</t>
    </rPh>
    <rPh sb="7" eb="8">
      <t>ケタ</t>
    </rPh>
    <phoneticPr fontId="2"/>
  </si>
  <si>
    <t>255.248.0.0(13ビット)</t>
    <phoneticPr fontId="2"/>
  </si>
  <si>
    <t>ON</t>
  </si>
  <si>
    <t>○○株式会社</t>
    <rPh sb="2" eb="6">
      <t>カブシキガイシャ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</si>
  <si>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対象機器</t>
    </r>
    <rPh sb="1" eb="3">
      <t>タイショウ</t>
    </rPh>
    <rPh sb="3" eb="5">
      <t>キキ</t>
    </rPh>
    <phoneticPr fontId="1"/>
  </si>
  <si>
    <t>Distribution ID (下8桁)</t>
    <rPh sb="17" eb="18">
      <t>シモ</t>
    </rPh>
    <rPh sb="19" eb="20">
      <t>ケタ</t>
    </rPh>
    <phoneticPr fontId="1"/>
  </si>
  <si>
    <t>192.168.100.1</t>
    <phoneticPr fontId="1"/>
  </si>
  <si>
    <t>192.168.100.2</t>
    <phoneticPr fontId="1"/>
  </si>
  <si>
    <t>190</t>
    <phoneticPr fontId="1"/>
  </si>
  <si>
    <t>ON</t>
    <phoneticPr fontId="1"/>
  </si>
  <si>
    <t>追加</t>
  </si>
  <si>
    <t>Webカメラ</t>
    <phoneticPr fontId="1"/>
  </si>
  <si>
    <t>tcp</t>
  </si>
  <si>
    <t>80</t>
    <phoneticPr fontId="1"/>
  </si>
  <si>
    <t>192.168.100.50</t>
    <phoneticPr fontId="1"/>
  </si>
  <si>
    <t>tcpudp</t>
  </si>
  <si>
    <t>8080</t>
    <phoneticPr fontId="1"/>
  </si>
  <si>
    <t>192.168.100.150</t>
    <phoneticPr fontId="1"/>
  </si>
  <si>
    <t>wpa-psk-aes</t>
  </si>
  <si>
    <t>DNS</t>
    <phoneticPr fontId="1"/>
  </si>
  <si>
    <t>255.255.255.252(30ビット)</t>
  </si>
  <si>
    <t>255.255.255.248(29ビット)</t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</si>
  <si>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</si>
  <si>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</si>
  <si>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</si>
  <si>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</si>
  <si>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</si>
  <si>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255.255.254.0(23ビット)</t>
    <phoneticPr fontId="2"/>
  </si>
  <si>
    <t>255.255.252.0(22ビット)</t>
    <phoneticPr fontId="2"/>
  </si>
  <si>
    <t>255.255.248.0(21ビット)</t>
    <phoneticPr fontId="2"/>
  </si>
  <si>
    <t>255.255.240.0(20ビット)</t>
    <phoneticPr fontId="2"/>
  </si>
  <si>
    <t>255.255.224.0(19ビット)</t>
    <phoneticPr fontId="2"/>
  </si>
  <si>
    <t>255.255.192.0(18ビット)</t>
    <phoneticPr fontId="2"/>
  </si>
  <si>
    <t>255.255.128.0(17ビット)</t>
    <phoneticPr fontId="2"/>
  </si>
  <si>
    <t>255.255.0.0(16ビット)</t>
    <phoneticPr fontId="2"/>
  </si>
  <si>
    <t>255.254.0.0(15ビット)</t>
    <phoneticPr fontId="2"/>
  </si>
  <si>
    <t>255.252.0.0(14ビット)</t>
    <phoneticPr fontId="2"/>
  </si>
  <si>
    <t>255.240.0.0(12ビット)</t>
    <phoneticPr fontId="2"/>
  </si>
  <si>
    <t>255.224.0.0(11ビット)</t>
    <phoneticPr fontId="2"/>
  </si>
  <si>
    <t>255.192.0.0(10ビット)</t>
    <phoneticPr fontId="2"/>
  </si>
  <si>
    <t>255.128.0.0(9ビット)</t>
    <phoneticPr fontId="2"/>
  </si>
  <si>
    <t>255.0.0.0(8ビット)</t>
    <phoneticPr fontId="2"/>
  </si>
  <si>
    <t xml:space="preserve">設定反映希望日時 (※未記入の場合最短) </t>
    <phoneticPr fontId="1"/>
  </si>
  <si>
    <t>BBNext_2.4G</t>
    <phoneticPr fontId="1"/>
  </si>
  <si>
    <t>0123456789</t>
    <phoneticPr fontId="1"/>
  </si>
  <si>
    <t>BBNext_5G</t>
    <phoneticPr fontId="1"/>
  </si>
  <si>
    <t>ポートフォワーディング</t>
    <phoneticPr fontId="1"/>
  </si>
  <si>
    <t>録画NAS</t>
    <rPh sb="0" eb="2">
      <t>ロクガ</t>
    </rPh>
    <phoneticPr fontId="1"/>
  </si>
  <si>
    <t>192.168.100.200</t>
    <phoneticPr fontId="1"/>
  </si>
  <si>
    <t>1000-1005</t>
    <phoneticPr fontId="1"/>
  </si>
  <si>
    <t>サーバー</t>
    <phoneticPr fontId="1"/>
  </si>
  <si>
    <t>0001234567</t>
    <phoneticPr fontId="1"/>
  </si>
  <si>
    <t>変更内容</t>
    <rPh sb="0" eb="2">
      <t>ヘンコウ</t>
    </rPh>
    <rPh sb="2" eb="4">
      <t>ナイヨウ</t>
    </rPh>
    <phoneticPr fontId="2"/>
  </si>
  <si>
    <t>契約先
プロバイダ情報</t>
    <rPh sb="0" eb="3">
      <t>ケイヤクサキ</t>
    </rPh>
    <rPh sb="9" eb="11">
      <t>ジョウホウ</t>
    </rPh>
    <phoneticPr fontId="1"/>
  </si>
  <si>
    <t>契約変更確認</t>
    <rPh sb="0" eb="2">
      <t>ケイヤク</t>
    </rPh>
    <rPh sb="2" eb="4">
      <t>ヘンコウ</t>
    </rPh>
    <rPh sb="4" eb="6">
      <t>カクニン</t>
    </rPh>
    <phoneticPr fontId="2"/>
  </si>
  <si>
    <t>回答</t>
    <rPh sb="0" eb="2">
      <t>カイトウ</t>
    </rPh>
    <phoneticPr fontId="2"/>
  </si>
  <si>
    <t>⇒</t>
    <phoneticPr fontId="2"/>
  </si>
  <si>
    <t>はい</t>
  </si>
  <si>
    <t>abc@example</t>
    <phoneticPr fontId="1"/>
  </si>
  <si>
    <t>Abc123456</t>
    <phoneticPr fontId="1"/>
  </si>
  <si>
    <t>削除</t>
  </si>
  <si>
    <t>警備システム</t>
    <rPh sb="0" eb="2">
      <t>ケイビ</t>
    </rPh>
    <phoneticPr fontId="1"/>
  </si>
  <si>
    <t>192.168.100.220</t>
    <phoneticPr fontId="1"/>
  </si>
  <si>
    <t>(最短)</t>
    <rPh sb="1" eb="3">
      <t>サイタン</t>
    </rPh>
    <phoneticPr fontId="1"/>
  </si>
  <si>
    <t>年</t>
  </si>
  <si>
    <t>日付</t>
  </si>
  <si>
    <t>曜日</t>
  </si>
  <si>
    <t>祝日名</t>
  </si>
  <si>
    <t>振替休日</t>
  </si>
  <si>
    <t>備考</t>
  </si>
  <si>
    <t>元日</t>
  </si>
  <si>
    <t>年始休み</t>
  </si>
  <si>
    <t>成人の日</t>
  </si>
  <si>
    <t>建国記念の日</t>
  </si>
  <si>
    <t>春分の日</t>
  </si>
  <si>
    <t>春分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</si>
  <si>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</si>
  <si>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</si>
  <si>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</si>
  <si>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</si>
  <si>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</si>
  <si>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</si>
  <si>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</si>
  <si>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</si>
  <si>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秋分</t>
  </si>
  <si>
    <t>体育の日</t>
  </si>
  <si>
    <t>文化の日</t>
  </si>
  <si>
    <t>勤労感謝の日</t>
  </si>
  <si>
    <t>天皇誕生日</t>
  </si>
  <si>
    <t>年末休み</t>
  </si>
  <si>
    <t>大晦日</t>
  </si>
  <si>
    <t>直近の土曜日</t>
    <rPh sb="0" eb="2">
      <t>チョッキン</t>
    </rPh>
    <rPh sb="3" eb="6">
      <t>ドヨウビ</t>
    </rPh>
    <phoneticPr fontId="1"/>
  </si>
  <si>
    <t>直近の日曜日</t>
    <rPh sb="0" eb="2">
      <t>チョッキン</t>
    </rPh>
    <rPh sb="3" eb="6">
      <t>ニチヨウビ</t>
    </rPh>
    <phoneticPr fontId="1"/>
  </si>
  <si>
    <t>(最短)</t>
  </si>
  <si>
    <t>アカウント</t>
    <phoneticPr fontId="1"/>
  </si>
  <si>
    <t>VPN払出アドレス変更</t>
    <rPh sb="3" eb="5">
      <t>ハライダシ</t>
    </rPh>
    <rPh sb="9" eb="11">
      <t>ヘンコウ</t>
    </rPh>
    <phoneticPr fontId="1"/>
  </si>
  <si>
    <t>■VPNリモートアクセス</t>
    <phoneticPr fontId="2"/>
  </si>
  <si>
    <t>Password#123</t>
    <phoneticPr fontId="1"/>
  </si>
  <si>
    <t>12345!pass</t>
    <phoneticPr fontId="1"/>
  </si>
  <si>
    <t>192.168.100.202</t>
    <phoneticPr fontId="1"/>
  </si>
  <si>
    <t>から 10個 のIPアドレスをリモートアクセスで利用します。※競合にご注意ください</t>
    <rPh sb="5" eb="6">
      <t>コ</t>
    </rPh>
    <rPh sb="24" eb="26">
      <t>リヨウ</t>
    </rPh>
    <rPh sb="31" eb="33">
      <t>キョウゴウ</t>
    </rPh>
    <rPh sb="35" eb="37">
      <t>チュウイ</t>
    </rPh>
    <phoneticPr fontId="1"/>
  </si>
  <si>
    <t>削除</t>
    <rPh sb="0" eb="2">
      <t>サクジョ</t>
    </rPh>
    <phoneticPr fontId="1"/>
  </si>
  <si>
    <t>8.8.8.8</t>
    <phoneticPr fontId="1"/>
  </si>
  <si>
    <t>手動取得</t>
  </si>
  <si>
    <t>4.4.4.4</t>
    <phoneticPr fontId="1"/>
  </si>
  <si>
    <t>パスワード
変更</t>
    <rPh sb="6" eb="8">
      <t>ヘンコウ</t>
    </rPh>
    <phoneticPr fontId="1"/>
  </si>
  <si>
    <t>user01</t>
    <phoneticPr fontId="1"/>
  </si>
  <si>
    <t>user02</t>
  </si>
  <si>
    <t>user03</t>
  </si>
  <si>
    <t>user04</t>
  </si>
  <si>
    <t>user05</t>
  </si>
  <si>
    <t>user06</t>
  </si>
  <si>
    <t>user07</t>
  </si>
  <si>
    <t>user08</t>
  </si>
  <si>
    <t>user09</t>
  </si>
  <si>
    <t>user10</t>
  </si>
  <si>
    <t>パスワード
変更</t>
    <rPh sb="6" eb="8">
      <t>ヘンコウ</t>
    </rPh>
    <phoneticPr fontId="1"/>
  </si>
  <si>
    <t>計画年休</t>
  </si>
  <si>
    <t>取得方法</t>
    <rPh sb="0" eb="2">
      <t>シュトク</t>
    </rPh>
    <rPh sb="2" eb="4">
      <t>ホウホウ</t>
    </rPh>
    <phoneticPr fontId="2"/>
  </si>
  <si>
    <t>ポートフォワーディング</t>
    <phoneticPr fontId="1"/>
  </si>
  <si>
    <t>チャネル</t>
    <phoneticPr fontId="2"/>
  </si>
  <si>
    <t>動作モード</t>
    <rPh sb="0" eb="2">
      <t>ドウサ</t>
    </rPh>
    <phoneticPr fontId="2"/>
  </si>
  <si>
    <r>
      <rPr>
        <b/>
        <sz val="9"/>
        <color rgb="FFC00000"/>
        <rFont val="メイリオ"/>
        <family val="3"/>
        <charset val="128"/>
      </rPr>
      <t>はじめにお読みください</t>
    </r>
    <r>
      <rPr>
        <b/>
        <sz val="9"/>
        <color theme="1"/>
        <rFont val="メイリオ"/>
        <family val="3"/>
        <charset val="128"/>
      </rPr>
      <t xml:space="preserve">
・</t>
    </r>
    <r>
      <rPr>
        <b/>
        <sz val="9"/>
        <color rgb="FF0000FF"/>
        <rFont val="メイリオ"/>
        <family val="3"/>
        <charset val="128"/>
      </rPr>
      <t>変更したい項目のみ</t>
    </r>
    <r>
      <rPr>
        <b/>
        <sz val="9"/>
        <color theme="1"/>
        <rFont val="メイリオ"/>
        <family val="3"/>
        <charset val="128"/>
      </rPr>
      <t xml:space="preserve"> 入力してください。入力セルは黄色　　　で表示されます。
・空白項目は、現在の設定値が維持されます
・「</t>
    </r>
    <r>
      <rPr>
        <b/>
        <sz val="9"/>
        <color rgb="FFFF0000"/>
        <rFont val="メイリオ"/>
        <family val="3"/>
        <charset val="128"/>
      </rPr>
      <t>*</t>
    </r>
    <r>
      <rPr>
        <b/>
        <sz val="9"/>
        <color theme="1"/>
        <rFont val="メイリオ"/>
        <family val="3"/>
        <charset val="128"/>
      </rPr>
      <t>」の項目は、必ず入力(選択)してください。
・入力に際して【見本】シート を参考にして下さい。</t>
    </r>
    <rPh sb="5" eb="6">
      <t>ヨ</t>
    </rPh>
    <rPh sb="32" eb="34">
      <t>ニュウリョク</t>
    </rPh>
    <rPh sb="37" eb="39">
      <t>キイロ</t>
    </rPh>
    <rPh sb="43" eb="45">
      <t>ヒョウジ</t>
    </rPh>
    <rPh sb="52" eb="54">
      <t>クウハク</t>
    </rPh>
    <rPh sb="63" eb="64">
      <t>チ</t>
    </rPh>
    <rPh sb="98" eb="100">
      <t>ニュウリョク</t>
    </rPh>
    <rPh sb="101" eb="102">
      <t>サイ</t>
    </rPh>
    <rPh sb="105" eb="107">
      <t>ミホン</t>
    </rPh>
    <rPh sb="113" eb="115">
      <t>サンコウ</t>
    </rPh>
    <rPh sb="118" eb="119">
      <t>クダ</t>
    </rPh>
    <phoneticPr fontId="2"/>
  </si>
  <si>
    <t>11ac 40MHz</t>
  </si>
  <si>
    <t>配布DNS
サーバー</t>
    <rPh sb="0" eb="2">
      <t>ハイフ</t>
    </rPh>
    <phoneticPr fontId="2"/>
  </si>
  <si>
    <t>　　↓ローカルIPチェック</t>
    <phoneticPr fontId="1"/>
  </si>
  <si>
    <t xml:space="preserve"> ▽新しいパスワードを入力してください。</t>
    <rPh sb="2" eb="3">
      <t>アタラ</t>
    </rPh>
    <rPh sb="11" eb="13">
      <t>ニュウリョク</t>
    </rPh>
    <phoneticPr fontId="1"/>
  </si>
  <si>
    <t>indoor (W52 + W53)</t>
    <phoneticPr fontId="1"/>
  </si>
  <si>
    <t>リコープロバイダー(IPv4)</t>
  </si>
  <si>
    <t>他社プロバイダー</t>
    <phoneticPr fontId="1"/>
  </si>
  <si>
    <t>追加/削除</t>
    <rPh sb="0" eb="2">
      <t>ツイカ</t>
    </rPh>
    <rPh sb="3" eb="5">
      <t>サクジョ</t>
    </rPh>
    <phoneticPr fontId="1"/>
  </si>
  <si>
    <t>AB12-CD34</t>
    <phoneticPr fontId="1"/>
  </si>
  <si>
    <t>(注意)　契約のないアカウントのパスワードは変更できません。
　　　　文字数制限：8～64文字  利用不可記号：[空白]["][,][\]
　　　　また、先頭に「@」があるとパスワードとして認識されません。</t>
    <rPh sb="77" eb="79">
      <t>セントウ</t>
    </rPh>
    <rPh sb="95" eb="97">
      <t>ニンシキ</t>
    </rPh>
    <phoneticPr fontId="1"/>
  </si>
  <si>
    <r>
      <t xml:space="preserve">NETBegin BBパック Next
</t>
    </r>
    <r>
      <rPr>
        <b/>
        <sz val="14"/>
        <color rgb="FFFF0000"/>
        <rFont val="メイリオ"/>
        <family val="3"/>
        <charset val="128"/>
      </rPr>
      <t xml:space="preserve">スタンダードモデル </t>
    </r>
    <r>
      <rPr>
        <b/>
        <sz val="14"/>
        <rFont val="メイリオ"/>
        <family val="3"/>
        <charset val="128"/>
      </rPr>
      <t>専用
設定変更依頼シートv1.6</t>
    </r>
    <rPh sb="30" eb="32">
      <t>センヨウ</t>
    </rPh>
    <rPh sb="33" eb="35">
      <t>セッテイ</t>
    </rPh>
    <rPh sb="35" eb="37">
      <t>ヘンコウ</t>
    </rPh>
    <rPh sb="37" eb="39">
      <t>イライ</t>
    </rPh>
    <phoneticPr fontId="2"/>
  </si>
  <si>
    <r>
      <t xml:space="preserve">NETBegin BBパック Next
</t>
    </r>
    <r>
      <rPr>
        <b/>
        <sz val="14"/>
        <color rgb="FFFF0000"/>
        <rFont val="メイリオ"/>
        <family val="3"/>
        <charset val="128"/>
      </rPr>
      <t xml:space="preserve">スタンダードモデル </t>
    </r>
    <r>
      <rPr>
        <b/>
        <sz val="14"/>
        <rFont val="メイリオ"/>
        <family val="3"/>
        <charset val="128"/>
      </rPr>
      <t>専用
設定変更依頼シートv1.6</t>
    </r>
    <r>
      <rPr>
        <b/>
        <sz val="14"/>
        <color rgb="FFFF0000"/>
        <rFont val="メイリオ"/>
        <family val="3"/>
        <charset val="128"/>
      </rPr>
      <t>【見本】</t>
    </r>
    <rPh sb="30" eb="32">
      <t>センヨウ</t>
    </rPh>
    <rPh sb="33" eb="35">
      <t>セッテイ</t>
    </rPh>
    <rPh sb="35" eb="37">
      <t>ヘンコウ</t>
    </rPh>
    <rPh sb="37" eb="39">
      <t>イライ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</si>
</sst>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 h:mm;@"/>
    <numFmt numFmtId="177" formatCode="0_ "/>
    <numFmt numFmtId="178" formatCode="h:mm;@"/>
    <numFmt numFmtId="179" formatCode="yyyy/m/d;@"/>
    <numFmt numFmtId="180" formatCode="yyyy/mm/dd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9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Meiryo UI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C00000"/>
      <name val="メイリオ"/>
      <family val="3"/>
      <charset val="128"/>
    </font>
    <font>
      <b/>
      <sz val="9"/>
      <color rgb="FF0000FF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202">
    <xf numFmtId="0" fontId="0" fillId="0" borderId="0" xfId="0">
      <alignment vertical="center"/>
    </xf>
    <xf numFmtId="0" fontId="6" fillId="0" borderId="0" xfId="0" applyFont="1" applyAlignment="1" applyProtection="1">
      <alignment wrapText="1"/>
      <protection hidden="1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12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4" fillId="3" borderId="6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  <protection hidden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 applyProtection="1">
      <alignment wrapText="1"/>
      <protection hidden="1"/>
    </xf>
    <xf numFmtId="0" fontId="6" fillId="0" borderId="1" xfId="0" applyFont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4" fillId="3" borderId="6" xfId="0" applyFont="1" applyFill="1" applyBorder="1" applyAlignment="1" applyProtection="1">
      <alignment horizontal="center" vertical="center" shrinkToFit="1"/>
    </xf>
    <xf numFmtId="0" fontId="6" fillId="0" borderId="0" xfId="0" applyFont="1" applyAlignment="1"/>
    <xf numFmtId="0" fontId="20" fillId="0" borderId="0" xfId="0" applyFont="1" applyBorder="1" applyAlignment="1" applyProtection="1">
      <alignment vertical="center" wrapText="1"/>
    </xf>
    <xf numFmtId="179" fontId="6" fillId="0" borderId="2" xfId="0" applyNumberFormat="1" applyFont="1" applyBorder="1" applyAlignment="1" applyProtection="1">
      <alignment horizontal="center" wrapText="1"/>
      <protection locked="0"/>
    </xf>
    <xf numFmtId="178" fontId="6" fillId="0" borderId="28" xfId="0" applyNumberFormat="1" applyFont="1" applyBorder="1" applyAlignment="1" applyProtection="1">
      <alignment horizontal="center" wrapText="1"/>
      <protection locked="0"/>
    </xf>
    <xf numFmtId="0" fontId="6" fillId="0" borderId="0" xfId="0" applyNumberFormat="1" applyFont="1" applyAlignment="1" applyProtection="1">
      <alignment wrapText="1"/>
      <protection hidden="1"/>
    </xf>
    <xf numFmtId="22" fontId="5" fillId="0" borderId="0" xfId="0" applyNumberFormat="1" applyFont="1" applyFill="1" applyAlignment="1">
      <alignment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13" fillId="0" borderId="0" xfId="0" applyFont="1">
      <alignment vertical="center"/>
    </xf>
    <xf numFmtId="0" fontId="14" fillId="0" borderId="0" xfId="0" applyFont="1" applyAlignment="1">
      <alignment wrapText="1"/>
    </xf>
    <xf numFmtId="0" fontId="10" fillId="3" borderId="3" xfId="0" applyFont="1" applyFill="1" applyBorder="1" applyAlignment="1" applyProtection="1">
      <alignment horizontal="left" vertical="center" shrinkToFit="1"/>
    </xf>
    <xf numFmtId="0" fontId="4" fillId="3" borderId="3" xfId="0" applyFont="1" applyFill="1" applyBorder="1" applyAlignment="1" applyProtection="1">
      <alignment horizontal="left" vertical="center" shrinkToFit="1"/>
    </xf>
    <xf numFmtId="12" fontId="10" fillId="3" borderId="6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Protection="1">
      <alignment vertical="center"/>
      <protection hidden="1"/>
    </xf>
    <xf numFmtId="20" fontId="30" fillId="0" borderId="0" xfId="0" applyNumberFormat="1" applyFont="1" applyAlignment="1" applyProtection="1">
      <alignment horizontal="right" vertical="center"/>
      <protection hidden="1"/>
    </xf>
    <xf numFmtId="20" fontId="30" fillId="0" borderId="0" xfId="0" applyNumberFormat="1" applyFont="1" applyProtection="1">
      <alignment vertical="center"/>
      <protection hidden="1"/>
    </xf>
    <xf numFmtId="0" fontId="30" fillId="0" borderId="0" xfId="0" applyNumberFormat="1" applyFont="1" applyProtection="1">
      <alignment vertical="center"/>
      <protection hidden="1"/>
    </xf>
    <xf numFmtId="178" fontId="30" fillId="0" borderId="0" xfId="0" applyNumberFormat="1" applyFont="1" applyProtection="1">
      <alignment vertical="center"/>
      <protection hidden="1"/>
    </xf>
    <xf numFmtId="180" fontId="30" fillId="0" borderId="0" xfId="0" applyNumberFormat="1" applyFont="1" applyProtection="1">
      <alignment vertical="center"/>
      <protection hidden="1"/>
    </xf>
    <xf numFmtId="0" fontId="30" fillId="0" borderId="0" xfId="0" quotePrefix="1" applyNumberFormat="1" applyFont="1" applyProtection="1">
      <alignment vertical="center"/>
      <protection hidden="1"/>
    </xf>
    <xf numFmtId="22" fontId="30" fillId="0" borderId="0" xfId="0" applyNumberFormat="1" applyFont="1" applyProtection="1">
      <alignment vertical="center"/>
      <protection hidden="1"/>
    </xf>
    <xf numFmtId="176" fontId="30" fillId="0" borderId="0" xfId="0" applyNumberFormat="1" applyFont="1" applyProtection="1">
      <alignment vertical="center"/>
      <protection hidden="1"/>
    </xf>
    <xf numFmtId="14" fontId="30" fillId="0" borderId="0" xfId="0" applyNumberFormat="1" applyFont="1" applyProtection="1">
      <alignment vertical="center"/>
      <protection hidden="1"/>
    </xf>
    <xf numFmtId="180" fontId="30" fillId="0" borderId="0" xfId="0" applyNumberFormat="1" applyFont="1" applyAlignment="1" applyProtection="1">
      <alignment horizontal="right" vertical="center"/>
      <protection hidden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shrinkToFi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wrapText="1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left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4" xfId="0" applyNumberFormat="1" applyFont="1" applyBorder="1" applyAlignment="1" applyProtection="1">
      <alignment horizontal="center" shrinkToFit="1"/>
      <protection hidden="1"/>
    </xf>
    <xf numFmtId="176" fontId="6" fillId="0" borderId="3" xfId="0" applyNumberFormat="1" applyFont="1" applyBorder="1" applyAlignment="1" applyProtection="1">
      <alignment horizontal="center" shrinkToFit="1"/>
      <protection hidden="1"/>
    </xf>
    <xf numFmtId="176" fontId="6" fillId="0" borderId="4" xfId="0" applyNumberFormat="1" applyFont="1" applyBorder="1" applyAlignment="1" applyProtection="1">
      <alignment horizontal="center" shrinkToFit="1"/>
      <protection hidden="1"/>
    </xf>
    <xf numFmtId="0" fontId="4" fillId="6" borderId="6" xfId="0" applyFont="1" applyFill="1" applyBorder="1" applyAlignment="1" applyProtection="1">
      <alignment horizontal="center" vertical="center" shrinkToFit="1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49" fontId="6" fillId="0" borderId="3" xfId="0" applyNumberFormat="1" applyFont="1" applyBorder="1" applyAlignment="1" applyProtection="1">
      <alignment horizontal="left" wrapText="1"/>
      <protection locked="0"/>
    </xf>
    <xf numFmtId="49" fontId="6" fillId="0" borderId="4" xfId="0" applyNumberFormat="1" applyFont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hidden="1"/>
    </xf>
    <xf numFmtId="0" fontId="9" fillId="2" borderId="3" xfId="0" applyFont="1" applyFill="1" applyBorder="1" applyAlignment="1" applyProtection="1">
      <alignment horizontal="left" vertical="center" wrapText="1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textRotation="255" wrapText="1"/>
    </xf>
    <xf numFmtId="0" fontId="10" fillId="3" borderId="22" xfId="0" applyFont="1" applyFill="1" applyBorder="1" applyAlignment="1" applyProtection="1">
      <alignment horizontal="center" vertical="center" textRotation="255" wrapText="1"/>
    </xf>
    <xf numFmtId="0" fontId="10" fillId="3" borderId="15" xfId="0" applyFont="1" applyFill="1" applyBorder="1" applyAlignment="1" applyProtection="1">
      <alignment horizontal="center" vertical="center" textRotation="255" wrapText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3" xfId="0" applyFont="1" applyFill="1" applyBorder="1" applyAlignment="1" applyProtection="1">
      <alignment horizontal="left" vertical="center" shrinkToFit="1"/>
      <protection hidden="1"/>
    </xf>
    <xf numFmtId="0" fontId="21" fillId="0" borderId="4" xfId="0" applyFont="1" applyFill="1" applyBorder="1" applyAlignment="1" applyProtection="1">
      <alignment horizontal="left" vertical="center" shrinkToFit="1"/>
      <protection hidden="1"/>
    </xf>
    <xf numFmtId="49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8" fillId="3" borderId="2" xfId="0" applyFont="1" applyFill="1" applyBorder="1" applyAlignment="1" applyProtection="1">
      <alignment horizontal="left" wrapText="1"/>
      <protection hidden="1"/>
    </xf>
    <xf numFmtId="0" fontId="29" fillId="3" borderId="3" xfId="0" applyFont="1" applyFill="1" applyBorder="1" applyAlignment="1" applyProtection="1">
      <alignment horizontal="left" wrapText="1"/>
      <protection hidden="1"/>
    </xf>
    <xf numFmtId="0" fontId="4" fillId="3" borderId="24" xfId="0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177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2" xfId="0" applyNumberFormat="1" applyFont="1" applyBorder="1" applyAlignment="1">
      <alignment horizontal="center" wrapText="1"/>
    </xf>
    <xf numFmtId="176" fontId="6" fillId="0" borderId="3" xfId="0" applyNumberFormat="1" applyFont="1" applyBorder="1" applyAlignment="1">
      <alignment horizontal="center" wrapText="1"/>
    </xf>
    <xf numFmtId="176" fontId="6" fillId="0" borderId="4" xfId="0" applyNumberFormat="1" applyFont="1" applyBorder="1" applyAlignment="1">
      <alignment horizontal="center" wrapText="1"/>
    </xf>
    <xf numFmtId="176" fontId="6" fillId="0" borderId="2" xfId="0" applyNumberFormat="1" applyFont="1" applyBorder="1" applyAlignment="1" applyProtection="1">
      <alignment horizontal="center" wrapText="1"/>
      <protection hidden="1"/>
    </xf>
    <xf numFmtId="176" fontId="6" fillId="0" borderId="3" xfId="0" applyNumberFormat="1" applyFont="1" applyBorder="1" applyAlignment="1" applyProtection="1">
      <alignment horizontal="center" wrapText="1"/>
      <protection hidden="1"/>
    </xf>
    <xf numFmtId="176" fontId="6" fillId="0" borderId="4" xfId="0" applyNumberFormat="1" applyFont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6" borderId="2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wrapText="1"/>
      <protection hidden="1"/>
    </xf>
    <xf numFmtId="49" fontId="6" fillId="0" borderId="3" xfId="0" applyNumberFormat="1" applyFont="1" applyBorder="1" applyAlignment="1" applyProtection="1">
      <alignment horizontal="left" wrapText="1"/>
      <protection hidden="1"/>
    </xf>
    <xf numFmtId="49" fontId="6" fillId="0" borderId="4" xfId="0" applyNumberFormat="1" applyFont="1" applyBorder="1" applyAlignment="1" applyProtection="1">
      <alignment horizontal="left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hidden="1"/>
    </xf>
  </cellXfs>
  <cellStyles count="2">
    <cellStyle name="ハイパーリンク" xfId="1" builtinId="8"/>
    <cellStyle name="標準" xfId="0" builtinId="0"/>
  </cellStyles>
  <dxfs count="90"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00FF"/>
      </font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u val="none"/>
        <color auto="1"/>
      </font>
      <fill>
        <patternFill>
          <fgColor auto="1"/>
          <bgColor theme="7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  <fill>
        <patternFill>
          <fgColor auto="1"/>
          <bgColor theme="0" tint="-0.24994659260841701"/>
        </patternFill>
      </fill>
    </dxf>
    <dxf>
      <fill>
        <patternFill>
          <fgColor auto="1"/>
          <bgColor theme="0" tint="-0.24994659260841701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 patternType="lightDown">
          <fgColor theme="0"/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rgb="FF0000FF"/>
      </font>
      <fill>
        <patternFill>
          <bgColor theme="7" tint="0.79998168889431442"/>
        </patternFill>
      </fill>
    </dxf>
    <dxf>
      <font>
        <color rgb="FF9C0006"/>
      </font>
      <fill>
        <patternFill patternType="solid">
          <bgColor theme="7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9CCFF"/>
      <color rgb="FF00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108585</xdr:colOff>
      <xdr:row>1</xdr:row>
      <xdr:rowOff>179070</xdr:rowOff>
    </xdr:from>
    <xdr:to>
      <xdr:col>8</xdr:col>
      <xdr:colOff>375285</xdr:colOff>
      <xdr:row>1</xdr:row>
      <xdr:rowOff>293369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D1330C-D676-4B91-BA19-BABEA881D17A}"/>
            </a:ext>
          </a:extLst>
        </xdr:cNvPr>
        <xdr:cNvSpPr/>
      </xdr:nvSpPr>
      <xdr:spPr>
        <a:xfrm>
          <a:off x="7042785" y="283845"/>
          <a:ext cx="266700" cy="1142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178904</xdr:colOff>
      <xdr:row>1</xdr:row>
      <xdr:rowOff>311426</xdr:rowOff>
    </xdr:from>
    <xdr:to>
      <xdr:col>11</xdr:col>
      <xdr:colOff>562886</xdr:colOff>
      <xdr:row>51</xdr:row>
      <xdr:rowOff>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9EA26CA2-A6BF-4133-A38D-8FA08B150A0B}"/>
            </a:ext>
          </a:extLst>
        </xdr:cNvPr>
        <xdr:cNvGrpSpPr/>
      </xdr:nvGrpSpPr>
      <xdr:grpSpPr>
        <a:xfrm>
          <a:off x="182079" y="419376"/>
          <a:ext cx="8712007" cy="10239099"/>
          <a:chOff x="178904" y="410817"/>
          <a:chExt cx="8553947" cy="1064149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953D7A2-5FB2-4646-BFB3-5A40C7703C60}"/>
              </a:ext>
            </a:extLst>
          </xdr:cNvPr>
          <xdr:cNvSpPr/>
        </xdr:nvSpPr>
        <xdr:spPr>
          <a:xfrm>
            <a:off x="205409" y="8621533"/>
            <a:ext cx="8527442" cy="2430780"/>
          </a:xfrm>
          <a:prstGeom prst="rect">
            <a:avLst/>
          </a:prstGeom>
          <a:solidFill>
            <a:schemeClr val="bg1">
              <a:lumMod val="95000"/>
            </a:schemeClr>
          </a:solidFill>
          <a:ln w="317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</a:rPr>
              <a:t>無線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LAN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機能を利用する場合は、</a:t>
            </a:r>
          </a:p>
          <a:p>
            <a:pPr algn="ctr"/>
            <a:r>
              <a:rPr kumimoji="1" lang="en-US" altLang="ja-JP" sz="1400">
                <a:solidFill>
                  <a:sysClr val="windowText" lastClr="000000"/>
                </a:solidFill>
              </a:rPr>
              <a:t>BB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パック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Next 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乗換限定モデル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から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スタンダードプラン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への契約変更が必要となります。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8CD6D6B-ACEB-4C4C-8A6B-BCF6F6AACB7D}"/>
              </a:ext>
            </a:extLst>
          </xdr:cNvPr>
          <xdr:cNvSpPr/>
        </xdr:nvSpPr>
        <xdr:spPr>
          <a:xfrm>
            <a:off x="178904" y="410817"/>
            <a:ext cx="1722783" cy="265044"/>
          </a:xfrm>
          <a:prstGeom prst="rect">
            <a:avLst/>
          </a:prstGeom>
          <a:solidFill>
            <a:sysClr val="window" lastClr="FFFFFF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乗換限定モデル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641018</xdr:colOff>
      <xdr:row>0</xdr:row>
      <xdr:rowOff>119804</xdr:rowOff>
    </xdr:from>
    <xdr:to>
      <xdr:col>12</xdr:col>
      <xdr:colOff>28575</xdr:colOff>
      <xdr:row>7</xdr:row>
      <xdr:rowOff>47330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8343" y="119804"/>
          <a:ext cx="3911932" cy="208970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2</xdr:col>
      <xdr:colOff>670560</xdr:colOff>
      <xdr:row>29</xdr:row>
      <xdr:rowOff>20955</xdr:rowOff>
    </xdr:from>
    <xdr:to>
      <xdr:col>6</xdr:col>
      <xdr:colOff>396240</xdr:colOff>
      <xdr:row>35</xdr:row>
      <xdr:rowOff>30480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EA6509A-072D-4D87-B051-5E4B46C8BA8A}"/>
            </a:ext>
          </a:extLst>
        </xdr:cNvPr>
        <xdr:cNvSpPr/>
      </xdr:nvSpPr>
      <xdr:spPr>
        <a:xfrm>
          <a:off x="1684020" y="7153275"/>
          <a:ext cx="3528060" cy="142684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C00000"/>
              </a:solidFill>
            </a:rPr>
            <a:t>　■全てのモデルにおいて下記ポートは指定できません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22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SSH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53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DNS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123</a:t>
          </a:r>
          <a:r>
            <a:rPr kumimoji="1" lang="ja-JP" altLang="en-US" sz="1000">
              <a:solidFill>
                <a:srgbClr val="C00000"/>
              </a:solidFill>
            </a:rPr>
            <a:t>番（</a:t>
          </a:r>
          <a:r>
            <a:rPr kumimoji="1" lang="en-US" altLang="ja-JP" sz="1000">
              <a:solidFill>
                <a:srgbClr val="C00000"/>
              </a:solidFill>
            </a:rPr>
            <a:t>NTP</a:t>
          </a:r>
          <a:r>
            <a:rPr kumimoji="1" lang="ja-JP" altLang="en-US" sz="1000">
              <a:solidFill>
                <a:srgbClr val="C00000"/>
              </a:solidFill>
            </a:rPr>
            <a:t>）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 ポート</a:t>
          </a:r>
          <a:r>
            <a:rPr kumimoji="1" lang="en-US" altLang="ja-JP" sz="1000">
              <a:solidFill>
                <a:srgbClr val="C00000"/>
              </a:solidFill>
            </a:rPr>
            <a:t>443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</a:t>
          </a:r>
          <a:r>
            <a:rPr kumimoji="1" lang="ja-JP" altLang="en-US" sz="1000">
              <a:solidFill>
                <a:srgbClr val="C00000"/>
              </a:solidFill>
            </a:rPr>
            <a:t>　 ポート</a:t>
          </a:r>
          <a:r>
            <a:rPr kumimoji="1" lang="en-US" altLang="ja-JP" sz="1000">
              <a:solidFill>
                <a:srgbClr val="C00000"/>
              </a:solidFill>
            </a:rPr>
            <a:t>10443</a:t>
          </a:r>
          <a:r>
            <a:rPr kumimoji="1" lang="ja-JP" altLang="en-US" sz="1000">
              <a:solidFill>
                <a:srgbClr val="C00000"/>
              </a:solidFill>
            </a:rPr>
            <a:t>番　　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49152</a:t>
          </a:r>
          <a:r>
            <a:rPr kumimoji="1" lang="ja-JP" altLang="en-US" sz="1000">
              <a:solidFill>
                <a:srgbClr val="C00000"/>
              </a:solidFill>
            </a:rPr>
            <a:t>～</a:t>
          </a:r>
          <a:r>
            <a:rPr kumimoji="1" lang="en-US" altLang="ja-JP" sz="1000">
              <a:solidFill>
                <a:srgbClr val="C00000"/>
              </a:solidFill>
            </a:rPr>
            <a:t>65535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</xdr:txBody>
    </xdr:sp>
    <xdr:clientData/>
  </xdr:twoCellAnchor>
  <xdr:twoCellAnchor>
    <xdr:from>
      <xdr:col>6</xdr:col>
      <xdr:colOff>22860</xdr:colOff>
      <xdr:row>29</xdr:row>
      <xdr:rowOff>28575</xdr:rowOff>
    </xdr:from>
    <xdr:to>
      <xdr:col>12</xdr:col>
      <xdr:colOff>243840</xdr:colOff>
      <xdr:row>35</xdr:row>
      <xdr:rowOff>30480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C435AC9-E7B4-4762-8DAF-073117DE1F8B}"/>
            </a:ext>
          </a:extLst>
        </xdr:cNvPr>
        <xdr:cNvSpPr/>
      </xdr:nvSpPr>
      <xdr:spPr>
        <a:xfrm>
          <a:off x="4838700" y="7160895"/>
          <a:ext cx="4290060" cy="14192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C00000"/>
              </a:solidFill>
            </a:rPr>
            <a:t>■拠点間</a:t>
          </a:r>
          <a:r>
            <a:rPr kumimoji="1" lang="en-US" altLang="ja-JP" sz="1000">
              <a:solidFill>
                <a:srgbClr val="C00000"/>
              </a:solidFill>
            </a:rPr>
            <a:t>VPN</a:t>
          </a:r>
          <a:r>
            <a:rPr kumimoji="1" lang="ja-JP" altLang="en-US" sz="1000">
              <a:solidFill>
                <a:srgbClr val="C00000"/>
              </a:solidFill>
            </a:rPr>
            <a:t>及び</a:t>
          </a:r>
          <a:r>
            <a:rPr kumimoji="1" lang="en-US" altLang="ja-JP" sz="1000">
              <a:solidFill>
                <a:srgbClr val="C00000"/>
              </a:solidFill>
            </a:rPr>
            <a:t>VPN</a:t>
          </a:r>
          <a:r>
            <a:rPr kumimoji="1" lang="ja-JP" altLang="en-US" sz="1000">
              <a:solidFill>
                <a:srgbClr val="C00000"/>
              </a:solidFill>
            </a:rPr>
            <a:t>ﾘﾓｰﾄｱｸｾｽ利用時、下記ポートは指定できません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500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　</a:t>
          </a:r>
          <a:r>
            <a:rPr kumimoji="1" lang="en-US" altLang="ja-JP" sz="1000">
              <a:solidFill>
                <a:srgbClr val="C00000"/>
              </a:solidFill>
            </a:rPr>
            <a:t>TCP/UDP</a:t>
          </a:r>
          <a:r>
            <a:rPr kumimoji="1" lang="ja-JP" altLang="en-US" sz="1000">
              <a:solidFill>
                <a:srgbClr val="C00000"/>
              </a:solidFill>
            </a:rPr>
            <a:t>　ポート</a:t>
          </a:r>
          <a:r>
            <a:rPr kumimoji="1" lang="en-US" altLang="ja-JP" sz="1000">
              <a:solidFill>
                <a:srgbClr val="C00000"/>
              </a:solidFill>
            </a:rPr>
            <a:t>4500</a:t>
          </a:r>
          <a:r>
            <a:rPr kumimoji="1" lang="ja-JP" altLang="en-US" sz="1000">
              <a:solidFill>
                <a:srgbClr val="C00000"/>
              </a:solidFill>
            </a:rPr>
            <a:t>番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■その他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・</a:t>
          </a:r>
          <a:r>
            <a:rPr kumimoji="1" lang="en-US" altLang="ja-JP" sz="1000">
              <a:solidFill>
                <a:srgbClr val="C00000"/>
              </a:solidFill>
            </a:rPr>
            <a:t>LAN</a:t>
          </a:r>
          <a:r>
            <a:rPr kumimoji="1" lang="ja-JP" altLang="en-US" sz="1000">
              <a:solidFill>
                <a:srgbClr val="C00000"/>
              </a:solidFill>
            </a:rPr>
            <a:t>側</a:t>
          </a:r>
          <a:r>
            <a:rPr kumimoji="1" lang="en-US" altLang="ja-JP" sz="1000">
              <a:solidFill>
                <a:srgbClr val="C00000"/>
              </a:solidFill>
            </a:rPr>
            <a:t>IP</a:t>
          </a:r>
          <a:r>
            <a:rPr kumimoji="1" lang="ja-JP" altLang="en-US" sz="1000">
              <a:solidFill>
                <a:srgbClr val="C00000"/>
              </a:solidFill>
            </a:rPr>
            <a:t>アドレスの範囲指定はできません。</a:t>
          </a:r>
          <a:endParaRPr kumimoji="1" lang="en-US" altLang="ja-JP" sz="10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・プロトコル「</a:t>
          </a:r>
          <a:r>
            <a:rPr kumimoji="1" lang="en-US" altLang="ja-JP" sz="1000">
              <a:solidFill>
                <a:srgbClr val="C00000"/>
              </a:solidFill>
            </a:rPr>
            <a:t>gre</a:t>
          </a:r>
          <a:r>
            <a:rPr kumimoji="1" lang="ja-JP" altLang="en-US" sz="1000">
              <a:solidFill>
                <a:srgbClr val="C00000"/>
              </a:solidFill>
            </a:rPr>
            <a:t>」は</a:t>
          </a:r>
          <a:r>
            <a:rPr kumimoji="1" lang="en-US" altLang="ja-JP" sz="1000">
              <a:solidFill>
                <a:srgbClr val="C00000"/>
              </a:solidFill>
            </a:rPr>
            <a:t>1</a:t>
          </a:r>
          <a:r>
            <a:rPr kumimoji="1" lang="ja-JP" altLang="en-US" sz="1000">
              <a:solidFill>
                <a:srgbClr val="C00000"/>
              </a:solidFill>
            </a:rPr>
            <a:t>つの</a:t>
          </a:r>
          <a:r>
            <a:rPr kumimoji="1" lang="en-US" altLang="ja-JP" sz="1000">
              <a:solidFill>
                <a:srgbClr val="C00000"/>
              </a:solidFill>
            </a:rPr>
            <a:t>IP</a:t>
          </a:r>
          <a:r>
            <a:rPr kumimoji="1" lang="ja-JP" altLang="en-US" sz="1000">
              <a:solidFill>
                <a:srgbClr val="C00000"/>
              </a:solidFill>
            </a:rPr>
            <a:t>アドレスにのみ設定できます。</a:t>
          </a:r>
          <a:r>
            <a:rPr kumimoji="1" lang="en-US" altLang="ja-JP" sz="1000">
              <a:solidFill>
                <a:srgbClr val="C00000"/>
              </a:solidFill>
            </a:rPr>
            <a:t>(</a:t>
          </a:r>
          <a:r>
            <a:rPr kumimoji="1" lang="ja-JP" altLang="en-US" sz="1000">
              <a:solidFill>
                <a:srgbClr val="C00000"/>
              </a:solidFill>
            </a:rPr>
            <a:t>複数設定不可</a:t>
          </a:r>
          <a:r>
            <a:rPr kumimoji="1" lang="en-US" altLang="ja-JP" sz="1000">
              <a:solidFill>
                <a:srgbClr val="C00000"/>
              </a:solidFill>
            </a:rPr>
            <a:t>)</a:t>
          </a:r>
          <a:endParaRPr kumimoji="1" lang="ja-JP" altLang="en-US" sz="1000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114300</xdr:colOff>
      <xdr:row>0</xdr:row>
      <xdr:rowOff>403860</xdr:rowOff>
    </xdr:from>
    <xdr:to>
      <xdr:col>11</xdr:col>
      <xdr:colOff>563879</xdr:colOff>
      <xdr:row>49</xdr:row>
      <xdr:rowOff>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95A45E6-8BFF-4968-85DA-124F3D67B7CE}"/>
            </a:ext>
          </a:extLst>
        </xdr:cNvPr>
        <xdr:cNvGrpSpPr/>
      </xdr:nvGrpSpPr>
      <xdr:grpSpPr>
        <a:xfrm>
          <a:off x="114300" y="407035"/>
          <a:ext cx="8933179" cy="10803890"/>
          <a:chOff x="178904" y="410817"/>
          <a:chExt cx="8770619" cy="10706100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2F6BA4F-D6CC-49C5-BF1C-0CEFF9C836CA}"/>
              </a:ext>
            </a:extLst>
          </xdr:cNvPr>
          <xdr:cNvSpPr/>
        </xdr:nvSpPr>
        <xdr:spPr>
          <a:xfrm>
            <a:off x="258748" y="8674873"/>
            <a:ext cx="8690775" cy="2442044"/>
          </a:xfrm>
          <a:prstGeom prst="rect">
            <a:avLst/>
          </a:prstGeom>
          <a:solidFill>
            <a:schemeClr val="bg1">
              <a:lumMod val="95000"/>
            </a:schemeClr>
          </a:solidFill>
          <a:ln w="317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</a:rPr>
              <a:t>無線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LAN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機能を利用する場合は、</a:t>
            </a:r>
          </a:p>
          <a:p>
            <a:pPr algn="ctr"/>
            <a:r>
              <a:rPr kumimoji="1" lang="en-US" altLang="ja-JP" sz="1400">
                <a:solidFill>
                  <a:sysClr val="windowText" lastClr="000000"/>
                </a:solidFill>
              </a:rPr>
              <a:t>BB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パック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Next 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乗換限定モデル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から 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『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スタンダードプラン</a:t>
            </a:r>
            <a:r>
              <a:rPr kumimoji="1" lang="en-US" altLang="ja-JP" sz="1400">
                <a:solidFill>
                  <a:sysClr val="windowText" lastClr="000000"/>
                </a:solidFill>
              </a:rPr>
              <a:t>』 </a:t>
            </a:r>
            <a:r>
              <a:rPr kumimoji="1" lang="ja-JP" altLang="en-US" sz="1400">
                <a:solidFill>
                  <a:sysClr val="windowText" lastClr="000000"/>
                </a:solidFill>
              </a:rPr>
              <a:t>への契約変更が必要となります。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C3F305A-A26E-40CA-82CB-0B31598D1C6A}"/>
              </a:ext>
            </a:extLst>
          </xdr:cNvPr>
          <xdr:cNvSpPr/>
        </xdr:nvSpPr>
        <xdr:spPr>
          <a:xfrm>
            <a:off x="178904" y="410817"/>
            <a:ext cx="1722783" cy="265044"/>
          </a:xfrm>
          <a:prstGeom prst="rect">
            <a:avLst/>
          </a:prstGeom>
          <a:solidFill>
            <a:sysClr val="window" lastClr="FFFFFF"/>
          </a:solidFill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乗換限定モデル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ctr"/>
      <a:lstStyle>
        <a:defPPr algn="ctr">
          <a:defRPr kumimoji="1" sz="16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98"/>
  <sheetViews>
    <sheetView showGridLines="0" tabSelected="1" zoomScaleNormal="100" workbookViewId="0">
      <selection activeCell="F1" sqref="F1:K4"/>
    </sheetView>
  </sheetViews>
  <sheetFormatPr defaultColWidth="0" defaultRowHeight="0" customHeight="1" zeroHeight="1" x14ac:dyDescent="0.55000000000000004"/>
  <cols>
    <col min="1" max="1" width="2.90625" style="3" customWidth="1"/>
    <col min="2" max="2" width="12" style="3" customWidth="1"/>
    <col min="3" max="3" width="9.90625" style="3" customWidth="1"/>
    <col min="4" max="4" width="11.26953125" style="3" customWidth="1"/>
    <col min="5" max="5" width="16.08984375" style="3" customWidth="1"/>
    <col min="6" max="6" width="15.26953125" style="3" bestFit="1" customWidth="1"/>
    <col min="7" max="7" width="17.90625" style="3" customWidth="1"/>
    <col min="8" max="8" width="5.7265625" style="3" customWidth="1"/>
    <col min="9" max="9" width="15.6328125" style="3" bestFit="1" customWidth="1"/>
    <col min="10" max="10" width="4.26953125" style="3" customWidth="1"/>
    <col min="11" max="12" width="8.26953125" style="3" customWidth="1"/>
    <col min="13" max="13" width="2.90625" style="3" customWidth="1"/>
    <col min="14" max="14" width="23" style="46" hidden="1" customWidth="1"/>
    <col min="15" max="15" width="14.7265625" style="2" hidden="1" customWidth="1"/>
    <col min="16" max="16384" width="14.7265625" style="3" hidden="1"/>
  </cols>
  <sheetData>
    <row r="1" spans="1:15" ht="8.25" customHeight="1" x14ac:dyDescent="0.55000000000000004">
      <c r="F1" s="123" t="s">
        <v>157</v>
      </c>
      <c r="G1" s="123"/>
      <c r="H1" s="123"/>
      <c r="I1" s="123"/>
      <c r="J1" s="123"/>
      <c r="K1" s="123"/>
    </row>
    <row r="2" spans="1:15" ht="35.25" customHeight="1" x14ac:dyDescent="0.55000000000000004">
      <c r="A2" s="31"/>
      <c r="B2" s="88" t="s">
        <v>168</v>
      </c>
      <c r="C2" s="88"/>
      <c r="D2" s="88"/>
      <c r="E2" s="88"/>
      <c r="F2" s="123"/>
      <c r="G2" s="123"/>
      <c r="H2" s="123"/>
      <c r="I2" s="123"/>
      <c r="J2" s="123"/>
      <c r="K2" s="123"/>
      <c r="L2" s="51"/>
      <c r="N2" s="47"/>
      <c r="O2" s="3"/>
    </row>
    <row r="3" spans="1:15" ht="35.25" customHeight="1" x14ac:dyDescent="0.55000000000000004">
      <c r="A3" s="31"/>
      <c r="B3" s="88"/>
      <c r="C3" s="88"/>
      <c r="D3" s="88"/>
      <c r="E3" s="88"/>
      <c r="F3" s="123"/>
      <c r="G3" s="123"/>
      <c r="H3" s="123"/>
      <c r="I3" s="123"/>
      <c r="J3" s="123"/>
      <c r="K3" s="123"/>
      <c r="L3" s="51"/>
      <c r="N3" s="47"/>
      <c r="O3" s="3"/>
    </row>
    <row r="4" spans="1:15" ht="9" customHeight="1" x14ac:dyDescent="0.55000000000000004">
      <c r="A4" s="1"/>
      <c r="B4" s="37"/>
      <c r="C4" s="37"/>
      <c r="D4" s="37"/>
      <c r="E4" s="37"/>
      <c r="F4" s="124"/>
      <c r="G4" s="124"/>
      <c r="H4" s="124"/>
      <c r="I4" s="124"/>
      <c r="J4" s="124"/>
      <c r="K4" s="124"/>
      <c r="L4" s="32"/>
      <c r="M4" s="1"/>
      <c r="N4" s="47"/>
      <c r="O4" s="3"/>
    </row>
    <row r="5" spans="1:15" ht="16" x14ac:dyDescent="0.55000000000000004">
      <c r="A5" s="1"/>
      <c r="B5" s="89" t="s">
        <v>31</v>
      </c>
      <c r="C5" s="90"/>
      <c r="D5" s="90"/>
      <c r="E5" s="90"/>
      <c r="F5" s="90"/>
      <c r="G5" s="90"/>
      <c r="H5" s="90"/>
      <c r="I5" s="90"/>
      <c r="J5" s="90"/>
      <c r="K5" s="90"/>
      <c r="L5" s="91"/>
      <c r="M5" s="1"/>
      <c r="O5" s="3"/>
    </row>
    <row r="6" spans="1:15" ht="18.75" customHeight="1" x14ac:dyDescent="0.55000000000000004">
      <c r="A6" s="1"/>
      <c r="B6" s="100" t="s">
        <v>32</v>
      </c>
      <c r="C6" s="104" t="s">
        <v>30</v>
      </c>
      <c r="D6" s="105"/>
      <c r="E6" s="109"/>
      <c r="F6" s="110"/>
      <c r="G6" s="110"/>
      <c r="H6" s="110"/>
      <c r="I6" s="110"/>
      <c r="J6" s="110"/>
      <c r="K6" s="110"/>
      <c r="L6" s="111"/>
      <c r="M6" s="1"/>
      <c r="O6" s="3"/>
    </row>
    <row r="7" spans="1:15" ht="18.75" customHeight="1" x14ac:dyDescent="0.55000000000000004">
      <c r="A7" s="1"/>
      <c r="B7" s="100"/>
      <c r="C7" s="102" t="s">
        <v>35</v>
      </c>
      <c r="D7" s="103"/>
      <c r="E7" s="112"/>
      <c r="F7" s="113"/>
      <c r="G7" s="113"/>
      <c r="H7" s="113"/>
      <c r="I7" s="113"/>
      <c r="J7" s="113"/>
      <c r="K7" s="113"/>
      <c r="L7" s="114"/>
      <c r="M7" s="1"/>
      <c r="O7" s="3"/>
    </row>
    <row r="8" spans="1:15" ht="18.75" customHeight="1" x14ac:dyDescent="0.55000000000000004">
      <c r="A8" s="1"/>
      <c r="B8" s="56" t="s">
        <v>39</v>
      </c>
      <c r="C8" s="101" t="s">
        <v>40</v>
      </c>
      <c r="D8" s="101"/>
      <c r="E8" s="106"/>
      <c r="F8" s="107"/>
      <c r="G8" s="107"/>
      <c r="H8" s="107"/>
      <c r="I8" s="107"/>
      <c r="J8" s="107"/>
      <c r="K8" s="107"/>
      <c r="L8" s="108"/>
      <c r="M8" s="1"/>
      <c r="O8" s="3"/>
    </row>
    <row r="9" spans="1:15" ht="18.75" customHeight="1" x14ac:dyDescent="0.55000000000000004">
      <c r="A9" s="1"/>
      <c r="B9" s="118" t="s">
        <v>77</v>
      </c>
      <c r="C9" s="118"/>
      <c r="D9" s="118"/>
      <c r="E9" s="52" t="s">
        <v>128</v>
      </c>
      <c r="F9" s="53"/>
      <c r="G9" s="115" t="str">
        <f ca="1">"※ "&amp;参照!D2&amp;" 0:00"&amp;" ~ "&amp;TEXT(EOMONTH(TODAY(),1)-1,"yyyy/mm/dd")&amp;" 23:50 までの日時が指定できます"</f>
        <v>※ 2021/04/12 0:00 ~ 2021/05/30 23:50 までの日時が指定できます</v>
      </c>
      <c r="H9" s="116"/>
      <c r="I9" s="116"/>
      <c r="J9" s="116"/>
      <c r="K9" s="116"/>
      <c r="L9" s="117"/>
      <c r="M9" s="54"/>
      <c r="N9" s="55"/>
      <c r="O9" s="3"/>
    </row>
    <row r="10" spans="1:15" ht="6" customHeight="1" x14ac:dyDescent="0.55000000000000004">
      <c r="A10" s="1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1"/>
      <c r="O10" s="3"/>
    </row>
    <row r="11" spans="1:15" ht="16" x14ac:dyDescent="0.55000000000000004">
      <c r="A11" s="1"/>
      <c r="B11" s="89" t="s">
        <v>29</v>
      </c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1"/>
      <c r="O11" s="3"/>
    </row>
    <row r="12" spans="1:15" ht="16.5" customHeight="1" x14ac:dyDescent="0.55000000000000004">
      <c r="A12" s="1"/>
      <c r="B12" s="92" t="s">
        <v>0</v>
      </c>
      <c r="C12" s="94" t="s">
        <v>88</v>
      </c>
      <c r="D12" s="95"/>
      <c r="E12" s="6" t="s">
        <v>87</v>
      </c>
      <c r="F12" s="122"/>
      <c r="G12" s="122"/>
      <c r="H12" s="6" t="s">
        <v>91</v>
      </c>
      <c r="I12" s="122"/>
      <c r="J12" s="122"/>
      <c r="K12" s="122"/>
      <c r="L12" s="122"/>
      <c r="M12" s="1"/>
      <c r="N12" s="50"/>
      <c r="O12" s="3"/>
    </row>
    <row r="13" spans="1:15" ht="16" x14ac:dyDescent="0.55000000000000004">
      <c r="A13" s="1"/>
      <c r="B13" s="93"/>
      <c r="C13" s="96"/>
      <c r="D13" s="97"/>
      <c r="E13" s="6" t="s">
        <v>89</v>
      </c>
      <c r="F13" s="125" t="str">
        <f>IF(AND(F12="他社プロバイダー",I12="他社プロバイダー"),"他社プロバイダー から 他社プロバイダー に"&amp;CHAR(10)&amp;"切り替える場合は、回答不要です。",IF(AND(F12="",I12=""),"",IF(I12="","","上記内容は、契約変更が必要となります。"&amp;CHAR(10)&amp;"契約変更はお済みですか？")))</f>
        <v/>
      </c>
      <c r="G13" s="126"/>
      <c r="H13" s="126"/>
      <c r="I13" s="127"/>
      <c r="J13" s="6" t="s">
        <v>90</v>
      </c>
      <c r="K13" s="128"/>
      <c r="L13" s="130"/>
      <c r="M13" s="1"/>
      <c r="N13" s="50"/>
      <c r="O13" s="3"/>
    </row>
    <row r="14" spans="1:15" ht="16" x14ac:dyDescent="0.55000000000000004">
      <c r="A14" s="1"/>
      <c r="B14" s="93"/>
      <c r="C14" s="96"/>
      <c r="D14" s="97"/>
      <c r="E14" s="6" t="s">
        <v>1</v>
      </c>
      <c r="F14" s="128"/>
      <c r="G14" s="129"/>
      <c r="H14" s="129"/>
      <c r="I14" s="129"/>
      <c r="J14" s="129"/>
      <c r="K14" s="129"/>
      <c r="L14" s="130"/>
      <c r="M14" s="1"/>
      <c r="N14" s="3"/>
      <c r="O14" s="3"/>
    </row>
    <row r="15" spans="1:15" ht="16" x14ac:dyDescent="0.55000000000000004">
      <c r="A15" s="1"/>
      <c r="B15" s="93"/>
      <c r="C15" s="98"/>
      <c r="D15" s="99"/>
      <c r="E15" s="6" t="s">
        <v>2</v>
      </c>
      <c r="F15" s="128"/>
      <c r="G15" s="129"/>
      <c r="H15" s="129"/>
      <c r="I15" s="129"/>
      <c r="J15" s="129"/>
      <c r="K15" s="129"/>
      <c r="L15" s="130"/>
      <c r="M15" s="1"/>
      <c r="N15" s="48" t="s">
        <v>55</v>
      </c>
      <c r="O15" s="3"/>
    </row>
    <row r="16" spans="1:15" ht="16" x14ac:dyDescent="0.55000000000000004">
      <c r="A16" s="1"/>
      <c r="B16" s="93"/>
      <c r="C16" s="94" t="s">
        <v>54</v>
      </c>
      <c r="D16" s="95"/>
      <c r="E16" s="6" t="s">
        <v>153</v>
      </c>
      <c r="F16" s="119"/>
      <c r="G16" s="120"/>
      <c r="H16" s="120"/>
      <c r="I16" s="120"/>
      <c r="J16" s="120"/>
      <c r="K16" s="120"/>
      <c r="L16" s="121"/>
      <c r="M16" s="1"/>
      <c r="N16" s="48" t="s">
        <v>56</v>
      </c>
      <c r="O16" s="3"/>
    </row>
    <row r="17" spans="1:24" ht="16" x14ac:dyDescent="0.55000000000000004">
      <c r="A17" s="1"/>
      <c r="B17" s="93"/>
      <c r="C17" s="96"/>
      <c r="D17" s="97"/>
      <c r="E17" s="6" t="s">
        <v>3</v>
      </c>
      <c r="F17" s="119"/>
      <c r="G17" s="120"/>
      <c r="H17" s="120"/>
      <c r="I17" s="120"/>
      <c r="J17" s="120"/>
      <c r="K17" s="120"/>
      <c r="L17" s="121"/>
      <c r="M17" s="1"/>
      <c r="N17" s="48" t="s">
        <v>57</v>
      </c>
      <c r="O17" s="3"/>
    </row>
    <row r="18" spans="1:24" ht="16" x14ac:dyDescent="0.55000000000000004">
      <c r="A18" s="1"/>
      <c r="B18" s="93"/>
      <c r="C18" s="98"/>
      <c r="D18" s="99"/>
      <c r="E18" s="7" t="s">
        <v>4</v>
      </c>
      <c r="F18" s="119"/>
      <c r="G18" s="120"/>
      <c r="H18" s="120"/>
      <c r="I18" s="120"/>
      <c r="J18" s="120"/>
      <c r="K18" s="120"/>
      <c r="L18" s="121"/>
      <c r="M18" s="1"/>
      <c r="N18" s="48" t="s">
        <v>58</v>
      </c>
      <c r="O18" s="50" t="s">
        <v>160</v>
      </c>
    </row>
    <row r="19" spans="1:24" ht="32" x14ac:dyDescent="0.55000000000000004">
      <c r="A19" s="8"/>
      <c r="B19" s="94" t="s">
        <v>5</v>
      </c>
      <c r="C19" s="168"/>
      <c r="D19" s="168"/>
      <c r="E19" s="9" t="s">
        <v>6</v>
      </c>
      <c r="F19" s="10" t="s">
        <v>24</v>
      </c>
      <c r="G19" s="134"/>
      <c r="H19" s="136"/>
      <c r="I19" s="61" t="s">
        <v>26</v>
      </c>
      <c r="J19" s="161"/>
      <c r="K19" s="161"/>
      <c r="L19" s="161"/>
      <c r="M19" s="8"/>
      <c r="N19" s="48" t="s">
        <v>59</v>
      </c>
      <c r="O19" s="11" t="b">
        <f ca="1">AND(COUNTIFS($G19,"*?.*?.*?.*?",$G19,"&lt;&gt;*-*",$G19,"&lt;&gt;*.*.*.*.*",$G19,"&lt;&gt;*.*????.*.*",$G19,"&lt;&gt;*.*.*????.*",$G19,"&lt;&gt;*.*.*.*????")*ISNUMBER(SUBSTITUTE($G19,".",)+0)*(SUMPRODUCT(ISNUMBER(FIND(ROW(INDIRECT("Z256:Z999")),$G19))*1)=0),OR(COUNTIF(G19,"10.*"),COUNTIF(G19,"192.168.*"),COUNTIF(G19,"172.*")))</f>
        <v>0</v>
      </c>
    </row>
    <row r="20" spans="1:24" ht="16" x14ac:dyDescent="0.55000000000000004">
      <c r="A20" s="8"/>
      <c r="B20" s="96"/>
      <c r="C20" s="169"/>
      <c r="D20" s="169"/>
      <c r="E20" s="78" t="s">
        <v>7</v>
      </c>
      <c r="F20" s="12" t="s">
        <v>25</v>
      </c>
      <c r="G20" s="128"/>
      <c r="H20" s="129"/>
      <c r="I20" s="129"/>
      <c r="J20" s="129"/>
      <c r="K20" s="129"/>
      <c r="L20" s="130"/>
      <c r="M20" s="13"/>
      <c r="N20" s="48" t="s">
        <v>60</v>
      </c>
      <c r="O20" s="3"/>
    </row>
    <row r="21" spans="1:24" s="11" customFormat="1" ht="16" x14ac:dyDescent="0.2">
      <c r="A21" s="8"/>
      <c r="B21" s="96"/>
      <c r="C21" s="169"/>
      <c r="D21" s="169"/>
      <c r="E21" s="78"/>
      <c r="F21" s="14" t="s">
        <v>8</v>
      </c>
      <c r="G21" s="134"/>
      <c r="H21" s="135"/>
      <c r="I21" s="135"/>
      <c r="J21" s="135"/>
      <c r="K21" s="135"/>
      <c r="L21" s="136"/>
      <c r="M21" s="8"/>
      <c r="N21" s="48" t="s">
        <v>61</v>
      </c>
      <c r="O21" s="11" t="b">
        <f ca="1">AND(COUNTIFS($G21,"*?.*?.*?.*?",$G21,"&lt;&gt;*-*",$G21,"&lt;&gt;*.*.*.*.*",$G21,"&lt;&gt;*.*????.*.*",$G21,"&lt;&gt;*.*.*????.*",$G21,"&lt;&gt;*.*.*.*????")*ISNUMBER(SUBSTITUTE($G21,".",)+0)*(SUMPRODUCT(ISNUMBER(FIND(ROW(INDIRECT("Z256:Z999")),$G21))*1)=0),OR(COUNTIF(G21,"10.*"),COUNTIF(G21,"192.168.*"),COUNTIF(G21,"172.*")))</f>
        <v>0</v>
      </c>
    </row>
    <row r="22" spans="1:24" s="11" customFormat="1" ht="16" x14ac:dyDescent="0.2">
      <c r="A22" s="8"/>
      <c r="B22" s="96"/>
      <c r="C22" s="169"/>
      <c r="D22" s="169"/>
      <c r="E22" s="78"/>
      <c r="F22" s="14" t="s">
        <v>9</v>
      </c>
      <c r="G22" s="162"/>
      <c r="H22" s="162"/>
      <c r="I22" s="162"/>
      <c r="J22" s="163" t="s">
        <v>10</v>
      </c>
      <c r="K22" s="163"/>
      <c r="L22" s="164"/>
      <c r="M22" s="8"/>
      <c r="N22" s="48" t="s">
        <v>62</v>
      </c>
    </row>
    <row r="23" spans="1:24" s="11" customFormat="1" ht="16" x14ac:dyDescent="0.2">
      <c r="A23" s="8"/>
      <c r="B23" s="96"/>
      <c r="C23" s="169"/>
      <c r="D23" s="169"/>
      <c r="E23" s="78"/>
      <c r="F23" s="78" t="s">
        <v>159</v>
      </c>
      <c r="G23" s="6" t="s">
        <v>12</v>
      </c>
      <c r="H23" s="165"/>
      <c r="I23" s="166"/>
      <c r="J23" s="166"/>
      <c r="K23" s="166"/>
      <c r="L23" s="167"/>
      <c r="M23" s="8"/>
      <c r="N23" s="48" t="s">
        <v>63</v>
      </c>
      <c r="O23" s="11" t="b">
        <f ca="1">AND(COUNTIFS($H23,"*?.*?.*?.*?",$H23,"&lt;&gt;*-*",$H23,"&lt;&gt;*.*.*.*.*",$H23,"&lt;&gt;*.*????.*.*",$H23,"&lt;&gt;*.*.*????.*",$H23,"&lt;&gt;*.*.*.*????")*ISNUMBER(SUBSTITUTE($H23,".",)+0)*(SUMPRODUCT(ISNUMBER(FIND(ROW(INDIRECT("Z256:Z999")),$H23))*1)=0),OR(COUNTIF(H23,"10.*"),COUNTIF(H23,"192.168.*"),COUNTIF(H23,"172.*")))</f>
        <v>0</v>
      </c>
    </row>
    <row r="24" spans="1:24" s="11" customFormat="1" ht="16" x14ac:dyDescent="0.2">
      <c r="A24" s="8"/>
      <c r="B24" s="98"/>
      <c r="C24" s="170"/>
      <c r="D24" s="170"/>
      <c r="E24" s="78"/>
      <c r="F24" s="78"/>
      <c r="G24" s="7" t="s">
        <v>4</v>
      </c>
      <c r="H24" s="134"/>
      <c r="I24" s="135"/>
      <c r="J24" s="135"/>
      <c r="K24" s="135"/>
      <c r="L24" s="136"/>
      <c r="M24" s="8"/>
      <c r="N24" s="48" t="s">
        <v>64</v>
      </c>
      <c r="O24" s="11" t="b">
        <f ca="1">OR(AND(COUNTIFS($H24,"*?.*?.*?.*?",$H24,"&lt;&gt;*-*",$H24,"&lt;&gt;*.*.*.*.*",$H24,"&lt;&gt;*.*????.*.*",$H24,"&lt;&gt;*.*.*????.*",$H24,"&lt;&gt;*.*.*.*????")*ISNUMBER(SUBSTITUTE($H24,".",)+0)*(SUMPRODUCT(ISNUMBER(FIND(ROW(INDIRECT("Z256:Z999")),$H24))*1)=0),OR(COUNTIF(H24,"10.*"),COUNTIF(H24,"192.168.*"),COUNTIF(H24,"172.*"))),H24="削除")</f>
        <v>0</v>
      </c>
    </row>
    <row r="25" spans="1:24" s="11" customFormat="1" ht="16" x14ac:dyDescent="0.2">
      <c r="A25" s="8"/>
      <c r="B25" s="131" t="s">
        <v>13</v>
      </c>
      <c r="C25" s="132"/>
      <c r="D25" s="132"/>
      <c r="E25" s="133"/>
      <c r="F25" s="12" t="s">
        <v>25</v>
      </c>
      <c r="G25" s="128"/>
      <c r="H25" s="129"/>
      <c r="I25" s="129"/>
      <c r="J25" s="129"/>
      <c r="K25" s="129"/>
      <c r="L25" s="130"/>
      <c r="M25" s="8"/>
      <c r="N25" s="48" t="s">
        <v>65</v>
      </c>
    </row>
    <row r="26" spans="1:24" s="30" customFormat="1" ht="16" x14ac:dyDescent="0.2">
      <c r="A26" s="24"/>
      <c r="B26" s="144" t="s">
        <v>81</v>
      </c>
      <c r="C26" s="78" t="s">
        <v>25</v>
      </c>
      <c r="D26" s="78"/>
      <c r="E26" s="78"/>
      <c r="F26" s="84"/>
      <c r="G26" s="85"/>
      <c r="H26" s="85"/>
      <c r="I26" s="85"/>
      <c r="J26" s="85"/>
      <c r="K26" s="85"/>
      <c r="L26" s="86"/>
      <c r="M26" s="24"/>
      <c r="N26" s="48" t="s">
        <v>66</v>
      </c>
      <c r="O26" s="25"/>
      <c r="P26" s="26"/>
      <c r="Q26" s="27"/>
      <c r="R26" s="28"/>
      <c r="S26" s="29"/>
      <c r="T26" s="29"/>
      <c r="U26" s="29"/>
      <c r="V26" s="29"/>
      <c r="W26" s="29"/>
      <c r="X26" s="29"/>
    </row>
    <row r="27" spans="1:24" s="11" customFormat="1" ht="16" x14ac:dyDescent="0.2">
      <c r="A27" s="8"/>
      <c r="B27" s="145"/>
      <c r="C27" s="78" t="s">
        <v>14</v>
      </c>
      <c r="D27" s="49" t="s">
        <v>165</v>
      </c>
      <c r="E27" s="15" t="s">
        <v>15</v>
      </c>
      <c r="F27" s="16" t="s">
        <v>16</v>
      </c>
      <c r="G27" s="16" t="s">
        <v>17</v>
      </c>
      <c r="H27" s="131" t="s">
        <v>18</v>
      </c>
      <c r="I27" s="132"/>
      <c r="J27" s="133"/>
      <c r="K27" s="131" t="s">
        <v>19</v>
      </c>
      <c r="L27" s="133"/>
      <c r="M27" s="8"/>
      <c r="N27" s="48" t="s">
        <v>67</v>
      </c>
    </row>
    <row r="28" spans="1:24" s="11" customFormat="1" ht="16" x14ac:dyDescent="0.2">
      <c r="A28" s="8"/>
      <c r="B28" s="145"/>
      <c r="C28" s="78"/>
      <c r="D28" s="39"/>
      <c r="E28" s="18"/>
      <c r="F28" s="36"/>
      <c r="G28" s="75"/>
      <c r="H28" s="134"/>
      <c r="I28" s="135"/>
      <c r="J28" s="136"/>
      <c r="K28" s="134"/>
      <c r="L28" s="136"/>
      <c r="M28" s="42"/>
      <c r="N28" s="48" t="s">
        <v>68</v>
      </c>
      <c r="O28" s="11" t="b">
        <f t="shared" ref="O28:O37" ca="1" si="0">AND(COUNTIFS($H28,"*?.*?.*?.*?",$H28,"&lt;&gt;*-*",$H28,"&lt;&gt;*.*.*.*.*",$H28,"&lt;&gt;*.*????.*.*",$H28,"&lt;&gt;*.*.*????.*",$H28,"&lt;&gt;*.*.*.*????")*ISNUMBER(SUBSTITUTE($H28,".",)+0)*(SUMPRODUCT(ISNUMBER(FIND(ROW(INDIRECT("Z256:Z999")),$H28))*1)=0),OR(COUNTIF(H28,"10.*"),COUNTIF(H28,"192.168.*"),COUNTIF(H28,"172.*")))</f>
        <v>0</v>
      </c>
    </row>
    <row r="29" spans="1:24" s="11" customFormat="1" ht="16" x14ac:dyDescent="0.2">
      <c r="A29" s="8"/>
      <c r="B29" s="145"/>
      <c r="C29" s="78"/>
      <c r="D29" s="39"/>
      <c r="E29" s="18"/>
      <c r="F29" s="36"/>
      <c r="G29" s="75"/>
      <c r="H29" s="134"/>
      <c r="I29" s="135"/>
      <c r="J29" s="136"/>
      <c r="K29" s="134"/>
      <c r="L29" s="136"/>
      <c r="M29" s="42"/>
      <c r="N29" s="48" t="s">
        <v>69</v>
      </c>
      <c r="O29" s="11" t="b">
        <f t="shared" ca="1" si="0"/>
        <v>0</v>
      </c>
    </row>
    <row r="30" spans="1:24" s="11" customFormat="1" ht="16" x14ac:dyDescent="0.2">
      <c r="A30" s="8"/>
      <c r="B30" s="145"/>
      <c r="C30" s="78"/>
      <c r="D30" s="39"/>
      <c r="E30" s="36"/>
      <c r="F30" s="36"/>
      <c r="G30" s="75"/>
      <c r="H30" s="134"/>
      <c r="I30" s="135"/>
      <c r="J30" s="136"/>
      <c r="K30" s="134"/>
      <c r="L30" s="136"/>
      <c r="M30" s="42"/>
      <c r="N30" s="48" t="s">
        <v>70</v>
      </c>
      <c r="O30" s="11" t="b">
        <f ca="1">AND(COUNTIFS($H30,"*?.*?.*?.*?",$H30,"&lt;&gt;*-*",$H30,"&lt;&gt;*.*.*.*.*",$H30,"&lt;&gt;*.*????.*.*",$H30,"&lt;&gt;*.*.*????.*",$H30,"&lt;&gt;*.*.*.*????")*ISNUMBER(SUBSTITUTE($H30,".",)+0)*(SUMPRODUCT(ISNUMBER(FIND(ROW(INDIRECT("Z256:Z999")),$H30))*1)=0),OR(COUNTIF(H30,"10.*"),COUNTIF(H30,"192.168.*"),COUNTIF(H30,"172.*")))</f>
        <v>0</v>
      </c>
    </row>
    <row r="31" spans="1:24" s="11" customFormat="1" ht="16" x14ac:dyDescent="0.2">
      <c r="A31" s="8"/>
      <c r="B31" s="145"/>
      <c r="C31" s="78"/>
      <c r="D31" s="39"/>
      <c r="E31" s="36"/>
      <c r="F31" s="36"/>
      <c r="G31" s="75"/>
      <c r="H31" s="134"/>
      <c r="I31" s="135"/>
      <c r="J31" s="136"/>
      <c r="K31" s="134"/>
      <c r="L31" s="136"/>
      <c r="M31" s="42"/>
      <c r="N31" s="48" t="s">
        <v>71</v>
      </c>
      <c r="O31" s="11" t="b">
        <f t="shared" ca="1" si="0"/>
        <v>0</v>
      </c>
    </row>
    <row r="32" spans="1:24" s="11" customFormat="1" ht="16" x14ac:dyDescent="0.2">
      <c r="A32" s="8"/>
      <c r="B32" s="145"/>
      <c r="C32" s="78"/>
      <c r="D32" s="39"/>
      <c r="E32" s="36"/>
      <c r="F32" s="36"/>
      <c r="G32" s="75"/>
      <c r="H32" s="134"/>
      <c r="I32" s="135"/>
      <c r="J32" s="136"/>
      <c r="K32" s="83"/>
      <c r="L32" s="83"/>
      <c r="M32" s="42"/>
      <c r="N32" s="48" t="s">
        <v>36</v>
      </c>
      <c r="O32" s="11" t="b">
        <f t="shared" ca="1" si="0"/>
        <v>0</v>
      </c>
    </row>
    <row r="33" spans="1:24" s="11" customFormat="1" ht="16" x14ac:dyDescent="0.2">
      <c r="A33" s="8"/>
      <c r="B33" s="145"/>
      <c r="C33" s="78"/>
      <c r="D33" s="39"/>
      <c r="E33" s="36"/>
      <c r="F33" s="36"/>
      <c r="G33" s="75"/>
      <c r="H33" s="134"/>
      <c r="I33" s="135"/>
      <c r="J33" s="136"/>
      <c r="K33" s="83"/>
      <c r="L33" s="83"/>
      <c r="M33" s="42"/>
      <c r="N33" s="48" t="s">
        <v>72</v>
      </c>
      <c r="O33" s="11" t="b">
        <f t="shared" ca="1" si="0"/>
        <v>0</v>
      </c>
    </row>
    <row r="34" spans="1:24" s="11" customFormat="1" ht="16" x14ac:dyDescent="0.2">
      <c r="A34" s="8"/>
      <c r="B34" s="145"/>
      <c r="C34" s="78"/>
      <c r="D34" s="39"/>
      <c r="E34" s="36"/>
      <c r="F34" s="36"/>
      <c r="G34" s="75"/>
      <c r="H34" s="134"/>
      <c r="I34" s="135"/>
      <c r="J34" s="136"/>
      <c r="K34" s="83"/>
      <c r="L34" s="83"/>
      <c r="M34" s="42"/>
      <c r="N34" s="48" t="s">
        <v>73</v>
      </c>
      <c r="O34" s="11" t="b">
        <f t="shared" ca="1" si="0"/>
        <v>0</v>
      </c>
    </row>
    <row r="35" spans="1:24" s="11" customFormat="1" ht="16" x14ac:dyDescent="0.2">
      <c r="A35" s="8"/>
      <c r="B35" s="145"/>
      <c r="C35" s="78"/>
      <c r="D35" s="39"/>
      <c r="E35" s="36"/>
      <c r="F35" s="36"/>
      <c r="G35" s="75"/>
      <c r="H35" s="134"/>
      <c r="I35" s="135"/>
      <c r="J35" s="136"/>
      <c r="K35" s="83"/>
      <c r="L35" s="83"/>
      <c r="M35" s="42"/>
      <c r="N35" s="48" t="s">
        <v>74</v>
      </c>
      <c r="O35" s="11" t="b">
        <f t="shared" ca="1" si="0"/>
        <v>0</v>
      </c>
    </row>
    <row r="36" spans="1:24" s="11" customFormat="1" ht="16" x14ac:dyDescent="0.2">
      <c r="A36" s="8"/>
      <c r="B36" s="145"/>
      <c r="C36" s="78"/>
      <c r="D36" s="39"/>
      <c r="E36" s="36"/>
      <c r="F36" s="36"/>
      <c r="G36" s="75"/>
      <c r="H36" s="134"/>
      <c r="I36" s="135"/>
      <c r="J36" s="136"/>
      <c r="K36" s="83"/>
      <c r="L36" s="83"/>
      <c r="M36" s="42"/>
      <c r="N36" s="48" t="s">
        <v>75</v>
      </c>
      <c r="O36" s="11" t="b">
        <f t="shared" ca="1" si="0"/>
        <v>0</v>
      </c>
    </row>
    <row r="37" spans="1:24" s="11" customFormat="1" ht="16" x14ac:dyDescent="0.2">
      <c r="A37" s="8"/>
      <c r="B37" s="146"/>
      <c r="C37" s="78"/>
      <c r="D37" s="39"/>
      <c r="E37" s="36"/>
      <c r="F37" s="36"/>
      <c r="G37" s="75"/>
      <c r="H37" s="134"/>
      <c r="I37" s="135"/>
      <c r="J37" s="136"/>
      <c r="K37" s="83"/>
      <c r="L37" s="83"/>
      <c r="M37" s="42"/>
      <c r="N37" s="48" t="s">
        <v>76</v>
      </c>
      <c r="O37" s="11" t="b">
        <f t="shared" ca="1" si="0"/>
        <v>0</v>
      </c>
    </row>
    <row r="38" spans="1:24" s="11" customFormat="1" ht="9" customHeight="1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77"/>
      <c r="K38" s="77"/>
      <c r="L38" s="76"/>
      <c r="M38" s="1"/>
    </row>
    <row r="39" spans="1:24" s="11" customFormat="1" ht="16" x14ac:dyDescent="0.55000000000000004">
      <c r="A39" s="3"/>
      <c r="B39" s="89" t="s">
        <v>28</v>
      </c>
      <c r="C39" s="90"/>
      <c r="D39" s="90"/>
      <c r="E39" s="90"/>
      <c r="F39" s="90"/>
      <c r="G39" s="90"/>
      <c r="H39" s="90"/>
      <c r="I39" s="90"/>
      <c r="J39" s="90"/>
      <c r="K39" s="90"/>
      <c r="L39" s="91"/>
      <c r="M39" s="1"/>
    </row>
    <row r="40" spans="1:24" s="11" customFormat="1" ht="16" x14ac:dyDescent="0.55000000000000004">
      <c r="A40" s="3"/>
      <c r="B40" s="78" t="s">
        <v>34</v>
      </c>
      <c r="C40" s="78" t="s">
        <v>27</v>
      </c>
      <c r="D40" s="78"/>
      <c r="E40" s="78"/>
      <c r="F40" s="82"/>
      <c r="G40" s="82"/>
      <c r="H40" s="82"/>
      <c r="I40" s="82"/>
      <c r="J40" s="82"/>
      <c r="K40" s="82"/>
      <c r="L40" s="82"/>
      <c r="M40" s="1"/>
    </row>
    <row r="41" spans="1:24" ht="16" x14ac:dyDescent="0.55000000000000004">
      <c r="B41" s="78"/>
      <c r="C41" s="78" t="s">
        <v>20</v>
      </c>
      <c r="D41" s="78"/>
      <c r="E41" s="78"/>
      <c r="F41" s="83"/>
      <c r="G41" s="83"/>
      <c r="H41" s="83"/>
      <c r="I41" s="83"/>
      <c r="J41" s="83"/>
      <c r="K41" s="83"/>
      <c r="L41" s="83"/>
      <c r="M41" s="1"/>
      <c r="O41" s="3"/>
    </row>
    <row r="42" spans="1:24" ht="16" x14ac:dyDescent="0.55000000000000004">
      <c r="B42" s="78"/>
      <c r="C42" s="78" t="s">
        <v>21</v>
      </c>
      <c r="D42" s="78"/>
      <c r="E42" s="78"/>
      <c r="F42" s="82"/>
      <c r="G42" s="82"/>
      <c r="H42" s="82"/>
      <c r="I42" s="82"/>
      <c r="J42" s="82"/>
      <c r="K42" s="82"/>
      <c r="L42" s="82"/>
      <c r="M42" s="1"/>
      <c r="O42" s="3"/>
    </row>
    <row r="43" spans="1:24" ht="16" x14ac:dyDescent="0.55000000000000004">
      <c r="B43" s="78"/>
      <c r="C43" s="78" t="s">
        <v>22</v>
      </c>
      <c r="D43" s="78"/>
      <c r="E43" s="78"/>
      <c r="F43" s="83"/>
      <c r="G43" s="83"/>
      <c r="H43" s="83"/>
      <c r="I43" s="83"/>
      <c r="J43" s="83"/>
      <c r="K43" s="83"/>
      <c r="L43" s="83"/>
      <c r="M43" s="1"/>
      <c r="O43" s="3"/>
    </row>
    <row r="44" spans="1:24" ht="16" x14ac:dyDescent="0.55000000000000004">
      <c r="B44" s="78"/>
      <c r="C44" s="78" t="s">
        <v>23</v>
      </c>
      <c r="D44" s="78"/>
      <c r="E44" s="78"/>
      <c r="F44" s="83"/>
      <c r="G44" s="83"/>
      <c r="H44" s="83"/>
      <c r="I44" s="83"/>
      <c r="J44" s="83"/>
      <c r="K44" s="83"/>
      <c r="L44" s="83"/>
      <c r="M44" s="1"/>
      <c r="O44" s="3"/>
    </row>
    <row r="45" spans="1:24" ht="16" x14ac:dyDescent="0.55000000000000004">
      <c r="B45" s="78" t="s">
        <v>33</v>
      </c>
      <c r="C45" s="78" t="s">
        <v>27</v>
      </c>
      <c r="D45" s="78"/>
      <c r="E45" s="78"/>
      <c r="F45" s="79"/>
      <c r="G45" s="80"/>
      <c r="H45" s="80"/>
      <c r="I45" s="80"/>
      <c r="J45" s="80"/>
      <c r="K45" s="80"/>
      <c r="L45" s="81"/>
      <c r="M45" s="1"/>
      <c r="O45" s="3"/>
    </row>
    <row r="46" spans="1:24" s="57" customFormat="1" ht="15" x14ac:dyDescent="0.2">
      <c r="B46" s="78"/>
      <c r="C46" s="87" t="s">
        <v>156</v>
      </c>
      <c r="D46" s="87"/>
      <c r="E46" s="87"/>
      <c r="F46" s="84"/>
      <c r="G46" s="85"/>
      <c r="H46" s="85"/>
      <c r="I46" s="85"/>
      <c r="J46" s="85"/>
      <c r="K46" s="85"/>
      <c r="L46" s="86"/>
      <c r="M46" s="58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s="57" customFormat="1" ht="15" x14ac:dyDescent="0.2">
      <c r="B47" s="78"/>
      <c r="C47" s="87" t="s">
        <v>155</v>
      </c>
      <c r="D47" s="87"/>
      <c r="E47" s="87"/>
      <c r="F47" s="84"/>
      <c r="G47" s="85"/>
      <c r="H47" s="85"/>
      <c r="I47" s="85"/>
      <c r="J47" s="85"/>
      <c r="K47" s="85"/>
      <c r="L47" s="86"/>
      <c r="M47" s="58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ht="16" x14ac:dyDescent="0.55000000000000004">
      <c r="B48" s="78"/>
      <c r="C48" s="78" t="s">
        <v>20</v>
      </c>
      <c r="D48" s="78"/>
      <c r="E48" s="78"/>
      <c r="F48" s="83"/>
      <c r="G48" s="83"/>
      <c r="H48" s="83"/>
      <c r="I48" s="83"/>
      <c r="J48" s="83"/>
      <c r="K48" s="83"/>
      <c r="L48" s="83"/>
      <c r="M48" s="1"/>
      <c r="O48" s="3"/>
    </row>
    <row r="49" spans="1:15" ht="16" x14ac:dyDescent="0.55000000000000004">
      <c r="B49" s="78"/>
      <c r="C49" s="78" t="s">
        <v>21</v>
      </c>
      <c r="D49" s="78"/>
      <c r="E49" s="78"/>
      <c r="F49" s="82"/>
      <c r="G49" s="82"/>
      <c r="H49" s="82"/>
      <c r="I49" s="82"/>
      <c r="J49" s="82"/>
      <c r="K49" s="82"/>
      <c r="L49" s="82"/>
      <c r="M49" s="1"/>
      <c r="O49" s="3"/>
    </row>
    <row r="50" spans="1:15" ht="16" x14ac:dyDescent="0.55000000000000004">
      <c r="B50" s="78"/>
      <c r="C50" s="78" t="s">
        <v>22</v>
      </c>
      <c r="D50" s="78"/>
      <c r="E50" s="78"/>
      <c r="F50" s="155"/>
      <c r="G50" s="83"/>
      <c r="H50" s="83"/>
      <c r="I50" s="83"/>
      <c r="J50" s="83"/>
      <c r="K50" s="83"/>
      <c r="L50" s="83"/>
      <c r="M50" s="1"/>
      <c r="O50" s="3"/>
    </row>
    <row r="51" spans="1:15" ht="16" x14ac:dyDescent="0.55000000000000004">
      <c r="B51" s="78"/>
      <c r="C51" s="78" t="s">
        <v>23</v>
      </c>
      <c r="D51" s="78"/>
      <c r="E51" s="78"/>
      <c r="F51" s="83"/>
      <c r="G51" s="83"/>
      <c r="H51" s="83"/>
      <c r="I51" s="83"/>
      <c r="J51" s="83"/>
      <c r="K51" s="83"/>
      <c r="L51" s="83"/>
      <c r="M51" s="1"/>
      <c r="O51" s="3"/>
    </row>
    <row r="52" spans="1:15" ht="9" customHeight="1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7"/>
      <c r="O52" s="3"/>
    </row>
    <row r="53" spans="1:15" ht="16" x14ac:dyDescent="0.55000000000000004">
      <c r="A53" s="1"/>
      <c r="B53" s="141" t="s">
        <v>131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3"/>
      <c r="M53" s="1"/>
      <c r="N53" s="47"/>
      <c r="O53" s="3"/>
    </row>
    <row r="54" spans="1:15" ht="16.5" customHeight="1" x14ac:dyDescent="0.55000000000000004">
      <c r="A54" s="1"/>
      <c r="B54" s="137" t="s">
        <v>130</v>
      </c>
      <c r="C54" s="137"/>
      <c r="D54" s="137"/>
      <c r="E54" s="128"/>
      <c r="F54" s="129"/>
      <c r="G54" s="152" t="s">
        <v>135</v>
      </c>
      <c r="H54" s="153"/>
      <c r="I54" s="153"/>
      <c r="J54" s="153"/>
      <c r="K54" s="153"/>
      <c r="L54" s="154"/>
      <c r="M54" s="1"/>
      <c r="N54" s="47"/>
      <c r="O54" s="11" t="b">
        <f ca="1">AND(COUNTIFS($E54,"*?.*?.*?.*?",$E54,"&lt;&gt;*-*",$E54,"&lt;&gt;*.*.*.*.*",$E54,"&lt;&gt;*.*????.*.*",$E54,"&lt;&gt;*.*.*????.*",$E54,"&lt;&gt;*.*.*.*????")*ISNUMBER(SUBSTITUTE($E54,".",)+0)*(SUMPRODUCT(ISNUMBER(FIND(ROW(INDIRECT("Z256:Z999")),$E54))*1)=0),OR(COUNTIF(E54,"10.*"),COUNTIF(E54,"192.168.*"),COUNTIF(E54,"172.*")))</f>
        <v>0</v>
      </c>
    </row>
    <row r="55" spans="1:15" ht="44" customHeight="1" x14ac:dyDescent="0.55000000000000004">
      <c r="A55" s="1"/>
      <c r="B55" s="149" t="s">
        <v>140</v>
      </c>
      <c r="C55" s="147" t="s">
        <v>129</v>
      </c>
      <c r="D55" s="148"/>
      <c r="E55" s="156" t="s">
        <v>161</v>
      </c>
      <c r="F55" s="157"/>
      <c r="G55" s="158" t="s">
        <v>167</v>
      </c>
      <c r="H55" s="159"/>
      <c r="I55" s="159"/>
      <c r="J55" s="159"/>
      <c r="K55" s="159"/>
      <c r="L55" s="160"/>
      <c r="M55" s="1"/>
      <c r="N55" s="47"/>
      <c r="O55" s="3"/>
    </row>
    <row r="56" spans="1:15" ht="16" x14ac:dyDescent="0.55000000000000004">
      <c r="A56" s="1"/>
      <c r="B56" s="150"/>
      <c r="C56" s="137" t="s">
        <v>141</v>
      </c>
      <c r="D56" s="137"/>
      <c r="E56" s="138"/>
      <c r="F56" s="139"/>
      <c r="G56" s="139"/>
      <c r="H56" s="139"/>
      <c r="I56" s="139"/>
      <c r="J56" s="139"/>
      <c r="K56" s="139"/>
      <c r="L56" s="140"/>
      <c r="M56" s="1"/>
      <c r="N56" s="47"/>
      <c r="O56" s="3"/>
    </row>
    <row r="57" spans="1:15" ht="16" x14ac:dyDescent="0.55000000000000004">
      <c r="A57" s="1"/>
      <c r="B57" s="150"/>
      <c r="C57" s="137" t="s">
        <v>142</v>
      </c>
      <c r="D57" s="137"/>
      <c r="E57" s="138"/>
      <c r="F57" s="139"/>
      <c r="G57" s="139"/>
      <c r="H57" s="139"/>
      <c r="I57" s="139"/>
      <c r="J57" s="139"/>
      <c r="K57" s="139"/>
      <c r="L57" s="140"/>
      <c r="M57" s="1"/>
      <c r="N57" s="47"/>
      <c r="O57" s="3"/>
    </row>
    <row r="58" spans="1:15" ht="16" x14ac:dyDescent="0.55000000000000004">
      <c r="A58" s="1"/>
      <c r="B58" s="150"/>
      <c r="C58" s="137" t="s">
        <v>143</v>
      </c>
      <c r="D58" s="137"/>
      <c r="E58" s="138"/>
      <c r="F58" s="139"/>
      <c r="G58" s="139"/>
      <c r="H58" s="139"/>
      <c r="I58" s="139"/>
      <c r="J58" s="139"/>
      <c r="K58" s="139"/>
      <c r="L58" s="140"/>
      <c r="M58" s="1"/>
      <c r="N58" s="47"/>
      <c r="O58" s="3"/>
    </row>
    <row r="59" spans="1:15" ht="16" x14ac:dyDescent="0.55000000000000004">
      <c r="A59" s="1"/>
      <c r="B59" s="150"/>
      <c r="C59" s="137" t="s">
        <v>144</v>
      </c>
      <c r="D59" s="137"/>
      <c r="E59" s="138"/>
      <c r="F59" s="139"/>
      <c r="G59" s="139"/>
      <c r="H59" s="139"/>
      <c r="I59" s="139"/>
      <c r="J59" s="139"/>
      <c r="K59" s="139"/>
      <c r="L59" s="140"/>
      <c r="M59" s="1"/>
      <c r="N59" s="47"/>
      <c r="O59" s="3"/>
    </row>
    <row r="60" spans="1:15" ht="16" x14ac:dyDescent="0.55000000000000004">
      <c r="A60" s="1"/>
      <c r="B60" s="150"/>
      <c r="C60" s="137" t="s">
        <v>145</v>
      </c>
      <c r="D60" s="137"/>
      <c r="E60" s="138"/>
      <c r="F60" s="139"/>
      <c r="G60" s="139"/>
      <c r="H60" s="139"/>
      <c r="I60" s="139"/>
      <c r="J60" s="139"/>
      <c r="K60" s="139"/>
      <c r="L60" s="140"/>
      <c r="M60" s="1"/>
      <c r="N60" s="47"/>
      <c r="O60" s="3"/>
    </row>
    <row r="61" spans="1:15" ht="16" x14ac:dyDescent="0.55000000000000004">
      <c r="A61" s="1"/>
      <c r="B61" s="150"/>
      <c r="C61" s="137" t="s">
        <v>146</v>
      </c>
      <c r="D61" s="137"/>
      <c r="E61" s="138"/>
      <c r="F61" s="139"/>
      <c r="G61" s="139"/>
      <c r="H61" s="139"/>
      <c r="I61" s="139"/>
      <c r="J61" s="139"/>
      <c r="K61" s="139"/>
      <c r="L61" s="140"/>
      <c r="M61" s="1"/>
      <c r="N61" s="47"/>
      <c r="O61" s="3"/>
    </row>
    <row r="62" spans="1:15" ht="16" x14ac:dyDescent="0.55000000000000004">
      <c r="A62" s="1"/>
      <c r="B62" s="150"/>
      <c r="C62" s="137" t="s">
        <v>147</v>
      </c>
      <c r="D62" s="137"/>
      <c r="E62" s="138"/>
      <c r="F62" s="139"/>
      <c r="G62" s="139"/>
      <c r="H62" s="139"/>
      <c r="I62" s="139"/>
      <c r="J62" s="139"/>
      <c r="K62" s="139"/>
      <c r="L62" s="140"/>
      <c r="M62" s="1"/>
      <c r="N62" s="47"/>
      <c r="O62" s="3"/>
    </row>
    <row r="63" spans="1:15" ht="16" x14ac:dyDescent="0.55000000000000004">
      <c r="A63" s="1"/>
      <c r="B63" s="150"/>
      <c r="C63" s="137" t="s">
        <v>148</v>
      </c>
      <c r="D63" s="137"/>
      <c r="E63" s="138"/>
      <c r="F63" s="139"/>
      <c r="G63" s="139"/>
      <c r="H63" s="139"/>
      <c r="I63" s="139"/>
      <c r="J63" s="139"/>
      <c r="K63" s="139"/>
      <c r="L63" s="140"/>
      <c r="M63" s="1"/>
      <c r="N63" s="47"/>
      <c r="O63" s="3"/>
    </row>
    <row r="64" spans="1:15" ht="16" x14ac:dyDescent="0.55000000000000004">
      <c r="A64" s="1"/>
      <c r="B64" s="150"/>
      <c r="C64" s="137" t="s">
        <v>149</v>
      </c>
      <c r="D64" s="137"/>
      <c r="E64" s="138"/>
      <c r="F64" s="139"/>
      <c r="G64" s="139"/>
      <c r="H64" s="139"/>
      <c r="I64" s="139"/>
      <c r="J64" s="139"/>
      <c r="K64" s="139"/>
      <c r="L64" s="140"/>
      <c r="M64" s="1"/>
      <c r="N64" s="47"/>
      <c r="O64" s="3"/>
    </row>
    <row r="65" spans="1:15" ht="16" x14ac:dyDescent="0.55000000000000004">
      <c r="A65" s="1"/>
      <c r="B65" s="151"/>
      <c r="C65" s="137" t="s">
        <v>150</v>
      </c>
      <c r="D65" s="137"/>
      <c r="E65" s="138"/>
      <c r="F65" s="139"/>
      <c r="G65" s="139"/>
      <c r="H65" s="139"/>
      <c r="I65" s="139"/>
      <c r="J65" s="139"/>
      <c r="K65" s="139"/>
      <c r="L65" s="140"/>
      <c r="M65" s="1"/>
      <c r="N65" s="47"/>
      <c r="O65" s="3"/>
    </row>
    <row r="66" spans="1:15" ht="5.25" customHeight="1" x14ac:dyDescent="0.5500000000000000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7"/>
      <c r="O66" s="3"/>
    </row>
    <row r="67" spans="1:15" ht="16" hidden="1" x14ac:dyDescent="0.55000000000000004">
      <c r="N67" s="47"/>
      <c r="O67" s="3"/>
    </row>
    <row r="68" spans="1:15" ht="16" hidden="1" x14ac:dyDescent="0.55000000000000004">
      <c r="N68" s="47"/>
      <c r="O68" s="3"/>
    </row>
    <row r="69" spans="1:15" ht="16" hidden="1" x14ac:dyDescent="0.55000000000000004">
      <c r="N69" s="47"/>
      <c r="O69" s="3"/>
    </row>
    <row r="70" spans="1:15" ht="16" hidden="1" x14ac:dyDescent="0.55000000000000004">
      <c r="N70" s="47"/>
      <c r="O70" s="3"/>
    </row>
    <row r="71" spans="1:15" ht="16" hidden="1" x14ac:dyDescent="0.55000000000000004">
      <c r="N71" s="47"/>
      <c r="O71" s="3"/>
    </row>
    <row r="72" spans="1:15" ht="16" hidden="1" x14ac:dyDescent="0.55000000000000004">
      <c r="N72" s="47"/>
      <c r="O72" s="3"/>
    </row>
    <row r="73" spans="1:15" ht="16" hidden="1" x14ac:dyDescent="0.55000000000000004">
      <c r="N73" s="47"/>
      <c r="O73" s="3"/>
    </row>
    <row r="74" spans="1:15" ht="16" hidden="1" x14ac:dyDescent="0.55000000000000004">
      <c r="N74" s="47"/>
      <c r="O74" s="3"/>
    </row>
    <row r="75" spans="1:15" ht="16" hidden="1" x14ac:dyDescent="0.55000000000000004">
      <c r="N75" s="47"/>
      <c r="O75" s="3"/>
    </row>
    <row r="76" spans="1:15" ht="16" hidden="1" x14ac:dyDescent="0.55000000000000004">
      <c r="N76" s="47"/>
      <c r="O76" s="3"/>
    </row>
    <row r="77" spans="1:15" ht="16" hidden="1" x14ac:dyDescent="0.55000000000000004">
      <c r="N77" s="47"/>
      <c r="O77" s="3"/>
    </row>
    <row r="78" spans="1:15" ht="16" hidden="1" x14ac:dyDescent="0.55000000000000004">
      <c r="N78" s="47"/>
      <c r="O78" s="3"/>
    </row>
    <row r="79" spans="1:15" ht="16" hidden="1" x14ac:dyDescent="0.55000000000000004">
      <c r="N79" s="47"/>
      <c r="O79" s="3"/>
    </row>
    <row r="80" spans="1:15" ht="16" hidden="1" x14ac:dyDescent="0.55000000000000004">
      <c r="N80" s="47"/>
      <c r="O80" s="3"/>
    </row>
    <row r="81" spans="14:15" ht="16" hidden="1" x14ac:dyDescent="0.55000000000000004">
      <c r="N81" s="47"/>
      <c r="O81" s="3"/>
    </row>
    <row r="82" spans="14:15" ht="16" hidden="1" x14ac:dyDescent="0.55000000000000004">
      <c r="N82" s="47"/>
      <c r="O82" s="3"/>
    </row>
    <row r="83" spans="14:15" ht="16" hidden="1" x14ac:dyDescent="0.55000000000000004">
      <c r="N83" s="47"/>
      <c r="O83" s="3"/>
    </row>
    <row r="84" spans="14:15" ht="16" hidden="1" x14ac:dyDescent="0.55000000000000004">
      <c r="N84" s="47"/>
      <c r="O84" s="3"/>
    </row>
    <row r="85" spans="14:15" ht="16" hidden="1" x14ac:dyDescent="0.55000000000000004">
      <c r="N85" s="47"/>
      <c r="O85" s="3"/>
    </row>
    <row r="86" spans="14:15" ht="16" hidden="1" x14ac:dyDescent="0.55000000000000004">
      <c r="N86" s="47"/>
      <c r="O86" s="3"/>
    </row>
    <row r="87" spans="14:15" ht="16" hidden="1" x14ac:dyDescent="0.55000000000000004">
      <c r="N87" s="47"/>
      <c r="O87" s="3"/>
    </row>
    <row r="88" spans="14:15" ht="13.5" hidden="1" customHeight="1" x14ac:dyDescent="0.55000000000000004">
      <c r="N88" s="47"/>
      <c r="O88" s="3"/>
    </row>
    <row r="89" spans="14:15" ht="13.5" hidden="1" customHeight="1" x14ac:dyDescent="0.55000000000000004">
      <c r="N89" s="47"/>
      <c r="O89" s="3"/>
    </row>
    <row r="90" spans="14:15" ht="13.5" hidden="1" customHeight="1" x14ac:dyDescent="0.55000000000000004">
      <c r="N90" s="47"/>
      <c r="O90" s="3"/>
    </row>
    <row r="93" spans="14:15" ht="0" hidden="1" customHeight="1" x14ac:dyDescent="0.55000000000000004"/>
    <row r="94" spans="14:15" ht="0" hidden="1" customHeight="1" x14ac:dyDescent="0.55000000000000004"/>
    <row r="95" spans="14:15" ht="0" hidden="1" customHeight="1" x14ac:dyDescent="0.55000000000000004"/>
    <row r="96" spans="14:15" ht="0" hidden="1" customHeight="1" x14ac:dyDescent="0.55000000000000004"/>
    <row r="97" ht="0" hidden="1" customHeight="1" x14ac:dyDescent="0.55000000000000004"/>
    <row r="98" ht="0" hidden="1" customHeight="1" x14ac:dyDescent="0.55000000000000004"/>
  </sheetData>
  <sheetProtection algorithmName="SHA-512" hashValue="Qi1BdoJaJ7gwviYnwHRLS9L932WK0FlO204aJq9f+2p0suwkxxb/S4W26ZOUd97ddOW+lx0HafIMh+GHLMZptA==" saltValue="1UeeZf4WTHw/erex0vmHYQ==" spinCount="100000" sheet="1" objects="1" scenarios="1"/>
  <dataConsolidate/>
  <mergeCells count="119">
    <mergeCell ref="E55:F55"/>
    <mergeCell ref="G55:L55"/>
    <mergeCell ref="E58:L58"/>
    <mergeCell ref="E59:L59"/>
    <mergeCell ref="E60:L60"/>
    <mergeCell ref="E62:L62"/>
    <mergeCell ref="E56:L56"/>
    <mergeCell ref="E57:L57"/>
    <mergeCell ref="F18:L18"/>
    <mergeCell ref="G25:L25"/>
    <mergeCell ref="C26:E26"/>
    <mergeCell ref="F26:L26"/>
    <mergeCell ref="J19:L19"/>
    <mergeCell ref="E20:E24"/>
    <mergeCell ref="G20:L20"/>
    <mergeCell ref="G21:L21"/>
    <mergeCell ref="G22:I22"/>
    <mergeCell ref="J22:L22"/>
    <mergeCell ref="F23:F24"/>
    <mergeCell ref="H23:L23"/>
    <mergeCell ref="H24:L24"/>
    <mergeCell ref="B19:D24"/>
    <mergeCell ref="G19:H19"/>
    <mergeCell ref="B25:E25"/>
    <mergeCell ref="B39:L39"/>
    <mergeCell ref="B53:L53"/>
    <mergeCell ref="B26:B37"/>
    <mergeCell ref="C62:D62"/>
    <mergeCell ref="C47:E47"/>
    <mergeCell ref="E63:L63"/>
    <mergeCell ref="K30:L30"/>
    <mergeCell ref="H31:J31"/>
    <mergeCell ref="K31:L31"/>
    <mergeCell ref="H32:J32"/>
    <mergeCell ref="K32:L32"/>
    <mergeCell ref="B54:D54"/>
    <mergeCell ref="C56:D56"/>
    <mergeCell ref="C55:D55"/>
    <mergeCell ref="B55:B65"/>
    <mergeCell ref="E64:L64"/>
    <mergeCell ref="E65:L65"/>
    <mergeCell ref="E54:F54"/>
    <mergeCell ref="G54:L54"/>
    <mergeCell ref="F48:L48"/>
    <mergeCell ref="C49:E49"/>
    <mergeCell ref="F49:L49"/>
    <mergeCell ref="C50:E50"/>
    <mergeCell ref="F50:L50"/>
    <mergeCell ref="C65:D65"/>
    <mergeCell ref="C64:D64"/>
    <mergeCell ref="C63:D63"/>
    <mergeCell ref="C61:D61"/>
    <mergeCell ref="C60:D60"/>
    <mergeCell ref="C59:D59"/>
    <mergeCell ref="C58:D58"/>
    <mergeCell ref="C57:D57"/>
    <mergeCell ref="E61:L61"/>
    <mergeCell ref="C27:C37"/>
    <mergeCell ref="H27:J27"/>
    <mergeCell ref="H36:J36"/>
    <mergeCell ref="K36:L36"/>
    <mergeCell ref="H37:J37"/>
    <mergeCell ref="K37:L37"/>
    <mergeCell ref="H28:J28"/>
    <mergeCell ref="K28:L28"/>
    <mergeCell ref="H29:J29"/>
    <mergeCell ref="K29:L29"/>
    <mergeCell ref="K27:L27"/>
    <mergeCell ref="K35:L35"/>
    <mergeCell ref="H30:J30"/>
    <mergeCell ref="H33:J33"/>
    <mergeCell ref="K33:L33"/>
    <mergeCell ref="H34:J34"/>
    <mergeCell ref="K34:L34"/>
    <mergeCell ref="H35:J35"/>
    <mergeCell ref="B2:E3"/>
    <mergeCell ref="B11:L11"/>
    <mergeCell ref="B12:B18"/>
    <mergeCell ref="C12:D15"/>
    <mergeCell ref="B5:L5"/>
    <mergeCell ref="B6:B7"/>
    <mergeCell ref="C8:D8"/>
    <mergeCell ref="C7:D7"/>
    <mergeCell ref="C6:D6"/>
    <mergeCell ref="E8:L8"/>
    <mergeCell ref="E6:L6"/>
    <mergeCell ref="E7:L7"/>
    <mergeCell ref="G9:L9"/>
    <mergeCell ref="B9:D9"/>
    <mergeCell ref="F17:L17"/>
    <mergeCell ref="I12:L12"/>
    <mergeCell ref="F1:K4"/>
    <mergeCell ref="F12:G12"/>
    <mergeCell ref="F13:I13"/>
    <mergeCell ref="F14:L14"/>
    <mergeCell ref="F15:L15"/>
    <mergeCell ref="K13:L13"/>
    <mergeCell ref="F16:L16"/>
    <mergeCell ref="C16:D18"/>
    <mergeCell ref="B45:B51"/>
    <mergeCell ref="C45:E45"/>
    <mergeCell ref="F45:L45"/>
    <mergeCell ref="C48:E48"/>
    <mergeCell ref="B40:B44"/>
    <mergeCell ref="C40:E40"/>
    <mergeCell ref="F40:L40"/>
    <mergeCell ref="C41:E41"/>
    <mergeCell ref="F41:L41"/>
    <mergeCell ref="C42:E42"/>
    <mergeCell ref="F42:L42"/>
    <mergeCell ref="C43:E43"/>
    <mergeCell ref="F43:L43"/>
    <mergeCell ref="C44:E44"/>
    <mergeCell ref="F44:L44"/>
    <mergeCell ref="F47:L47"/>
    <mergeCell ref="C46:E46"/>
    <mergeCell ref="F46:L46"/>
    <mergeCell ref="C51:E51"/>
    <mergeCell ref="F51:L51"/>
  </mergeCells>
  <phoneticPr fontId="1"/>
  <conditionalFormatting sqref="F41:L44">
    <cfRule type="expression" dxfId="89" priority="97">
      <formula>($F$40="OFF")</formula>
    </cfRule>
  </conditionalFormatting>
  <conditionalFormatting sqref="F46:L51">
    <cfRule type="expression" dxfId="88" priority="95">
      <formula>($F$45="OFF")</formula>
    </cfRule>
  </conditionalFormatting>
  <conditionalFormatting sqref="F44:L44">
    <cfRule type="expression" dxfId="87" priority="94">
      <formula>($F$42="WPA-PSK-AES")</formula>
    </cfRule>
  </conditionalFormatting>
  <conditionalFormatting sqref="F43:L43">
    <cfRule type="expression" dxfId="86" priority="93">
      <formula>($F$42="WEP")</formula>
    </cfRule>
  </conditionalFormatting>
  <conditionalFormatting sqref="F51:L51">
    <cfRule type="expression" dxfId="85" priority="92">
      <formula>($F$49="WPA-PSK-AES")</formula>
    </cfRule>
  </conditionalFormatting>
  <conditionalFormatting sqref="F50:L50">
    <cfRule type="expression" dxfId="84" priority="8">
      <formula>($F$49="WEP")</formula>
    </cfRule>
  </conditionalFormatting>
  <conditionalFormatting sqref="E28:L28">
    <cfRule type="expression" dxfId="83" priority="10">
      <formula>$D28=""</formula>
    </cfRule>
  </conditionalFormatting>
  <conditionalFormatting sqref="F21:L24">
    <cfRule type="expression" dxfId="82" priority="16">
      <formula>$G$20="OFF"</formula>
    </cfRule>
  </conditionalFormatting>
  <conditionalFormatting sqref="C27:L37">
    <cfRule type="expression" dxfId="81" priority="9">
      <formula>$F$26="OFF"</formula>
    </cfRule>
  </conditionalFormatting>
  <conditionalFormatting sqref="E29:L29">
    <cfRule type="expression" dxfId="80" priority="11">
      <formula>$D$29=""</formula>
    </cfRule>
  </conditionalFormatting>
  <conditionalFormatting sqref="E30:L30">
    <cfRule type="expression" dxfId="79" priority="70">
      <formula>$D$30=""</formula>
    </cfRule>
  </conditionalFormatting>
  <conditionalFormatting sqref="E31:L31">
    <cfRule type="expression" dxfId="78" priority="69">
      <formula>$D$31=""</formula>
    </cfRule>
  </conditionalFormatting>
  <conditionalFormatting sqref="E32:L32">
    <cfRule type="expression" dxfId="77" priority="68">
      <formula>$D$32=""</formula>
    </cfRule>
  </conditionalFormatting>
  <conditionalFormatting sqref="E33:L33">
    <cfRule type="expression" dxfId="76" priority="67">
      <formula>$D$33=""</formula>
    </cfRule>
  </conditionalFormatting>
  <conditionalFormatting sqref="E34:L34">
    <cfRule type="expression" dxfId="75" priority="66">
      <formula>$D$34=""</formula>
    </cfRule>
  </conditionalFormatting>
  <conditionalFormatting sqref="E35:L35">
    <cfRule type="expression" dxfId="74" priority="65">
      <formula>$D$35=""</formula>
    </cfRule>
  </conditionalFormatting>
  <conditionalFormatting sqref="E36:L36">
    <cfRule type="expression" dxfId="73" priority="46">
      <formula>$D$36=""</formula>
    </cfRule>
  </conditionalFormatting>
  <conditionalFormatting sqref="E37:L37">
    <cfRule type="expression" dxfId="72" priority="13">
      <formula>$D$37=""</formula>
    </cfRule>
  </conditionalFormatting>
  <conditionalFormatting sqref="D28:D37">
    <cfRule type="containsText" dxfId="71" priority="47" operator="containsText" text="削除">
      <formula>NOT(ISERROR(SEARCH("削除",D28)))</formula>
    </cfRule>
    <cfRule type="containsText" dxfId="70" priority="63" operator="containsText" text="追加">
      <formula>NOT(ISERROR(SEARCH("追加",D28)))</formula>
    </cfRule>
    <cfRule type="containsText" dxfId="69" priority="64" operator="containsText" text="変更">
      <formula>NOT(ISERROR(SEARCH("変更",D28)))</formula>
    </cfRule>
  </conditionalFormatting>
  <conditionalFormatting sqref="F13:L13">
    <cfRule type="expression" dxfId="68" priority="31">
      <formula>AND($F$12="他社プロバイダー",$I$12="他社プロバイダー")</formula>
    </cfRule>
  </conditionalFormatting>
  <conditionalFormatting sqref="F13:I13">
    <cfRule type="containsText" dxfId="67" priority="61" operator="containsText" text="契約変更">
      <formula>NOT(ISERROR(SEARCH("契約変更",F13)))</formula>
    </cfRule>
  </conditionalFormatting>
  <conditionalFormatting sqref="E14:L15">
    <cfRule type="expression" dxfId="66" priority="29">
      <formula>NOT($I$12&lt;&gt;"")</formula>
    </cfRule>
  </conditionalFormatting>
  <conditionalFormatting sqref="F9">
    <cfRule type="expression" dxfId="65" priority="5">
      <formula>$E$9="(最短)"</formula>
    </cfRule>
    <cfRule type="expression" dxfId="64" priority="26">
      <formula>AND($E$9&lt;&gt;"(最短)",$F$9="")</formula>
    </cfRule>
    <cfRule type="expression" dxfId="63" priority="57">
      <formula>$F$9&lt;&gt;""</formula>
    </cfRule>
  </conditionalFormatting>
  <conditionalFormatting sqref="G54:L54">
    <cfRule type="expression" dxfId="62" priority="6">
      <formula>$E$54=""</formula>
    </cfRule>
  </conditionalFormatting>
  <conditionalFormatting sqref="F17:L18">
    <cfRule type="expression" dxfId="61" priority="23">
      <formula>$F$16="自動取得"</formula>
    </cfRule>
  </conditionalFormatting>
  <conditionalFormatting sqref="G28 K28:L28">
    <cfRule type="expression" dxfId="60" priority="72">
      <formula>$F$28="gre"</formula>
    </cfRule>
  </conditionalFormatting>
  <conditionalFormatting sqref="G29 K29:L29">
    <cfRule type="expression" dxfId="59" priority="12">
      <formula>$F$29="gre"</formula>
    </cfRule>
  </conditionalFormatting>
  <conditionalFormatting sqref="G30 K30:L30">
    <cfRule type="expression" dxfId="58" priority="45">
      <formula>$F$30="gre"</formula>
    </cfRule>
  </conditionalFormatting>
  <conditionalFormatting sqref="G31 K31:L31">
    <cfRule type="expression" dxfId="57" priority="44">
      <formula>$F$31="gre"</formula>
    </cfRule>
  </conditionalFormatting>
  <conditionalFormatting sqref="G32 K32:L32">
    <cfRule type="expression" dxfId="56" priority="43">
      <formula>$F$32="gre"</formula>
    </cfRule>
  </conditionalFormatting>
  <conditionalFormatting sqref="G33 K33:L33">
    <cfRule type="expression" dxfId="55" priority="42">
      <formula>$F$33="gre"</formula>
    </cfRule>
  </conditionalFormatting>
  <conditionalFormatting sqref="G34 K34:L34">
    <cfRule type="expression" dxfId="54" priority="41">
      <formula>$F$34="gre"</formula>
    </cfRule>
  </conditionalFormatting>
  <conditionalFormatting sqref="G35 K35:L35">
    <cfRule type="expression" dxfId="53" priority="40">
      <formula>$F$35="gre"</formula>
    </cfRule>
  </conditionalFormatting>
  <conditionalFormatting sqref="G36 K36:L36">
    <cfRule type="expression" dxfId="52" priority="39">
      <formula>$F$36="gre"</formula>
    </cfRule>
  </conditionalFormatting>
  <conditionalFormatting sqref="G37 K37:L37">
    <cfRule type="expression" dxfId="51" priority="38">
      <formula>$F$37="gre"</formula>
    </cfRule>
  </conditionalFormatting>
  <conditionalFormatting sqref="E6:L6">
    <cfRule type="expression" dxfId="50" priority="37">
      <formula>$E$6&lt;&gt;""</formula>
    </cfRule>
  </conditionalFormatting>
  <conditionalFormatting sqref="E8:L8">
    <cfRule type="expression" dxfId="49" priority="35">
      <formula>$E$8&lt;&gt;""</formula>
    </cfRule>
  </conditionalFormatting>
  <conditionalFormatting sqref="E9">
    <cfRule type="expression" dxfId="48" priority="34">
      <formula>$E$9&lt;&gt;"(最短)"</formula>
    </cfRule>
  </conditionalFormatting>
  <conditionalFormatting sqref="F12:G12">
    <cfRule type="expression" dxfId="47" priority="33">
      <formula>$F$12&lt;&gt;""</formula>
    </cfRule>
  </conditionalFormatting>
  <conditionalFormatting sqref="I12:L12">
    <cfRule type="expression" dxfId="46" priority="32">
      <formula>$I$12&lt;&gt;""</formula>
    </cfRule>
  </conditionalFormatting>
  <conditionalFormatting sqref="K13:L13">
    <cfRule type="expression" dxfId="45" priority="60">
      <formula>COUNTIF($F$13,"*契約変更*")</formula>
    </cfRule>
  </conditionalFormatting>
  <conditionalFormatting sqref="F14:L15">
    <cfRule type="expression" dxfId="44" priority="30">
      <formula>COUNTIF($F$13,"*契約変更*")</formula>
    </cfRule>
  </conditionalFormatting>
  <conditionalFormatting sqref="E7:L7">
    <cfRule type="expression" dxfId="43" priority="27">
      <formula>$E$7&lt;&gt;""</formula>
    </cfRule>
  </conditionalFormatting>
  <conditionalFormatting sqref="F16:L16">
    <cfRule type="expression" dxfId="42" priority="25">
      <formula>$F$16&lt;&gt;""</formula>
    </cfRule>
  </conditionalFormatting>
  <conditionalFormatting sqref="F17:L17">
    <cfRule type="expression" dxfId="41" priority="24">
      <formula>$F$17&lt;&gt;""</formula>
    </cfRule>
  </conditionalFormatting>
  <conditionalFormatting sqref="F18:L18">
    <cfRule type="expression" dxfId="40" priority="48">
      <formula>$F$18&lt;&gt;""</formula>
    </cfRule>
  </conditionalFormatting>
  <conditionalFormatting sqref="G19:H19">
    <cfRule type="expression" dxfId="39" priority="22">
      <formula>$G$19&lt;&gt;""</formula>
    </cfRule>
  </conditionalFormatting>
  <conditionalFormatting sqref="J19:L19">
    <cfRule type="expression" dxfId="38" priority="21">
      <formula>$J$19&lt;&gt;""</formula>
    </cfRule>
  </conditionalFormatting>
  <conditionalFormatting sqref="G20:L20">
    <cfRule type="expression" dxfId="37" priority="20">
      <formula>$G$20&lt;&gt;""</formula>
    </cfRule>
  </conditionalFormatting>
  <conditionalFormatting sqref="G21:L21">
    <cfRule type="expression" dxfId="36" priority="19">
      <formula>$G$21&lt;&gt;""</formula>
    </cfRule>
  </conditionalFormatting>
  <conditionalFormatting sqref="G22:I22">
    <cfRule type="expression" dxfId="35" priority="80">
      <formula>$G$22&lt;&gt;""</formula>
    </cfRule>
  </conditionalFormatting>
  <conditionalFormatting sqref="H23:L23">
    <cfRule type="expression" dxfId="34" priority="18">
      <formula>$H$23&lt;&gt;""</formula>
    </cfRule>
  </conditionalFormatting>
  <conditionalFormatting sqref="H24:L24">
    <cfRule type="expression" dxfId="33" priority="17">
      <formula>$H$24&lt;&gt;""</formula>
    </cfRule>
  </conditionalFormatting>
  <conditionalFormatting sqref="G25:L25">
    <cfRule type="expression" dxfId="32" priority="15">
      <formula>$G$25&lt;&gt;""</formula>
    </cfRule>
  </conditionalFormatting>
  <conditionalFormatting sqref="F26:L26">
    <cfRule type="expression" dxfId="31" priority="14">
      <formula>$F$26&lt;&gt;""</formula>
    </cfRule>
  </conditionalFormatting>
  <conditionalFormatting sqref="E28:L37">
    <cfRule type="notContainsBlanks" dxfId="30" priority="74">
      <formula>LEN(TRIM(E28))&gt;0</formula>
    </cfRule>
  </conditionalFormatting>
  <conditionalFormatting sqref="F40:L51">
    <cfRule type="notContainsBlanks" dxfId="29" priority="98">
      <formula>LEN(TRIM(F40))&gt;0</formula>
    </cfRule>
  </conditionalFormatting>
  <conditionalFormatting sqref="E56:L65">
    <cfRule type="notContainsBlanks" dxfId="28" priority="7">
      <formula>LEN(TRIM(E56))&gt;0</formula>
    </cfRule>
  </conditionalFormatting>
  <dataValidations count="29">
    <dataValidation type="custom" imeMode="halfAlpha" allowBlank="1" showInputMessage="1" showErrorMessage="1" error="ローカル環境にある別のDNSサーバを利用する場合は、_x000a_DNSサーバのプライマリIPアドレスを入力します。_x000a__x000a_■入力例_x000a_192.168.100.200_x000a__x000a_■入力可能範囲_x000a_10.0.0.0～10.255.255.255_x000a_172.16.0.0～172.31.255.255_x000a_192.168.0.0～192.168.255.255_x000a_" sqref="H23:L23" xr:uid="{00000000-0002-0000-0000-000000000000}">
      <formula1>O23</formula1>
    </dataValidation>
    <dataValidation type="whole" imeMode="halfAlpha" allowBlank="1" showInputMessage="1" showErrorMessage="1" error="DHCP機能で割り振るIPアドレスの個数を入力してください。_x000a_入力個数：1～1024" sqref="G22:I22" xr:uid="{00000000-0002-0000-0000-000001000000}">
      <formula1>1</formula1>
      <formula2>1024</formula2>
    </dataValidation>
    <dataValidation type="custom" imeMode="halfAlpha" allowBlank="1" showInputMessage="1" showErrorMessage="1" error="プロバイダ指定のセカンダリDNSのIPアドレスを入力して下さい。_x000a_例） 4.4.4.4" sqref="F18:L18" xr:uid="{00000000-0002-0000-0000-000002000000}">
      <formula1>COUNTIFS($F18,"*?.*?.*?.*?",$F18,"&lt;&gt;*-*",$F18,"&lt;&gt;*.*.*.*.*",$F18,"&lt;&gt;*????.*.*.*",$F18,"&lt;&gt;*.*????.*.*",$F18,"&lt;&gt;*.*.*????.*",$F18,"&lt;&gt;*.*.*.*????")*ISNUMBER(SUBSTITUTE($F18,".",)+0)*(SUMPRODUCT(ISNUMBER(FIND(ROW(INDIRECT("Z256:Z999")),$F18))*1)=0)</formula1>
    </dataValidation>
    <dataValidation type="custom" imeMode="halfAlpha" allowBlank="1" showInputMessage="1" showErrorMessage="1" error="入力できる文字数は5文字か13文字です。" sqref="F44:L44 F51:L51" xr:uid="{00000000-0002-0000-0000-000003000000}">
      <formula1>OR((LEN(F44)=LENB(F44))*(LENB(F44)=5),(LEN(F44)=LENB(F44))*(LENB(F44)=13))</formula1>
    </dataValidation>
    <dataValidation type="list" allowBlank="1" showInputMessage="1" showErrorMessage="1" sqref="F42:L42 F49:L49" xr:uid="{00000000-0002-0000-0000-000004000000}">
      <formula1>"wpa-psk-aes,wep"</formula1>
    </dataValidation>
    <dataValidation type="custom" imeMode="halfAlpha" allowBlank="1" showInputMessage="1" showErrorMessage="1" error="入力可能文字は、半角英数字8文字～64文字です。[空白][&quot;][,]は利用できません。" sqref="F50:L50 F43:L43" xr:uid="{00000000-0002-0000-0000-000005000000}">
      <formula1>AND(ISERROR(FIND(",",F43))*ISERROR(FIND(" ",F43))*ISERROR(FIND("""",F43))*((LEN(F43)=LENB(F43))*(LENB(F43)&gt;=8))*((LEN(F43)=LENB(F43))*(LENB(F43)&lt;=63)))</formula1>
    </dataValidation>
    <dataValidation type="custom" imeMode="halfAlpha" showInputMessage="1" showErrorMessage="1" error="入力できる文字数は半角英数字1文字～32文字となっています。" sqref="F48:L48" xr:uid="{00000000-0002-0000-0000-000006000000}">
      <formula1>(LEN(F48)=LENB(F48))*(LENB(F48)&lt;=32)</formula1>
    </dataValidation>
    <dataValidation type="custom" imeMode="halfAlpha" allowBlank="1" showInputMessage="1" showErrorMessage="1" error="入力できる文字数は半角英数字1文字～32文字となっています。" sqref="F41:L41" xr:uid="{00000000-0002-0000-0000-000007000000}">
      <formula1>(LEN(F41)=LENB(F41))*(LENB(F41)&lt;=32)</formula1>
    </dataValidation>
    <dataValidation type="list" allowBlank="1" showInputMessage="1" showErrorMessage="1" sqref="G20 F26 F40 G25 F45" xr:uid="{00000000-0002-0000-0000-000008000000}">
      <formula1>"ON,OFF"</formula1>
    </dataValidation>
    <dataValidation type="list" allowBlank="1" showInputMessage="1" showErrorMessage="1" sqref="D28:D37" xr:uid="{00000000-0002-0000-0000-000009000000}">
      <formula1>"追加,削除"</formula1>
    </dataValidation>
    <dataValidation type="list" allowBlank="1" showInputMessage="1" showErrorMessage="1" sqref="F28:F37" xr:uid="{00000000-0002-0000-0000-00000A000000}">
      <formula1>"tcp,udp,tcpudp,gre"</formula1>
    </dataValidation>
    <dataValidation type="custom" imeMode="disabled" allowBlank="1" showInputMessage="1" showErrorMessage="1" errorTitle="確認" error="単一ポート：80 　　(数字のみ)_x000a_範囲指定：100-123 (ハイフンで区切ります)_x000a__x000a_【注意：下記ポートは指定できません】_x000a_ TCP　ポート22番（SSH）_x000a_ TCP/UDP　ポート53番（DNS)_x000a_ TCP/UDP　ポート123番（NTP）_x000a_ TCP　 ポート443番_x000a_ TCP　 ポート10443番_x000a_ UDP　ポート49152～65535番" sqref="K28:L37 G29:G37" xr:uid="{00000000-0002-0000-0000-00000B000000}">
      <formula1>IF(LEN(G28)-LEN(SUBSTITUTE(G28,"-",""))=1,IF(NOT(ISERROR(AND(MOD(LEFT(G28,1),1)=0,MOD(RIGHT(G28,1),1)=0))),TRUE,FALSE),IF(AND(NOT(ISERROR(MOD(G28,1)=0)),COUNTIF(G28,"*,*")=0,COUNTIF(G28,"*/*")=0,COUNTIF(G28,"*-*")=0),TRUE,FALSE))</formula1>
    </dataValidation>
    <dataValidation type="list" allowBlank="1" showInputMessage="1" showErrorMessage="1" sqref="F12:G12" xr:uid="{00000000-0002-0000-0000-00000D000000}">
      <formula1>"リコープロバイダー(IPv4),リコープロバイダー(IPoE),他社プロバイダー"</formula1>
    </dataValidation>
    <dataValidation type="list" allowBlank="1" showInputMessage="1" showErrorMessage="1" sqref="K13:L13" xr:uid="{00000000-0002-0000-0000-00000E000000}">
      <formula1>"はい"</formula1>
    </dataValidation>
    <dataValidation type="custom" allowBlank="1" showInputMessage="1" showErrorMessage="1" error="入力可能文字は、半角英数字8文字～64文字です。[空白][&quot;][,][\]は利用できません。" sqref="E56:L65" xr:uid="{00000000-0002-0000-0000-00000F000000}">
      <formula1>AND(ISERROR(FIND(",",E56))*ISERROR(FIND("\",E56))*ISERROR(FIND(" ",E56))*ISERROR(FIND("""",E56))*((LEN(E56)=LENB(E56))*(LENB(E56)&gt;=7))*((LEN(E56)=LENB(E56))*(LENB(E56)&lt;=63)))</formula1>
    </dataValidation>
    <dataValidation type="list" allowBlank="1" showInputMessage="1" showErrorMessage="1" sqref="F16:L16" xr:uid="{00000000-0002-0000-0000-000010000000}">
      <formula1>"自動取得,手動取得"</formula1>
    </dataValidation>
    <dataValidation type="custom" imeMode="halfAlpha" allowBlank="1" showInputMessage="1" showErrorMessage="1" error="DHCPで配布するDNSサーバのアドレスを入力してください。_x000a_設定を削除する場合は、&quot;削除”記入してください。_x000a__x000a_■入力例_x000a_192.168.100.201_x000a__x000a_■入力可能範囲_x000a_10.0.0.0～10.255.255.255_x000a_172.16.0.0～172.31.255.255_x000a_192.168.0.0～192.168.255.255_x000a__x000a_" sqref="H24:L24" xr:uid="{00000000-0002-0000-0000-000011000000}">
      <formula1>O24</formula1>
    </dataValidation>
    <dataValidation type="custom" allowBlank="1" showInputMessage="1" showErrorMessage="1" error="IPアドレス形式で入力してください。_x000a__x000a_例) 192.168.100.200" sqref="E54:F54" xr:uid="{00000000-0002-0000-0000-000018000000}">
      <formula1>O54</formula1>
    </dataValidation>
    <dataValidation type="custom" imeMode="halfAlpha" allowBlank="1" showErrorMessage="1" error="プロバイダ指定のプライマリDNSのIPアドレスを入力して下さい。_x000a_例） 8.8.8.8" promptTitle="確認" sqref="F17:L17" xr:uid="{00000000-0002-0000-0000-000019000000}">
      <formula1>COUNTIFS($F17,"*?.*?.*?.*?",$F17,"&lt;&gt;*-*",$F17,"&lt;&gt;*.*.*.*.*",$F17,"&lt;&gt;*????.*.*.*",$F17,"&lt;&gt;*.*????.*.*",$F17,"&lt;&gt;*.*.*????.*",$F17,"&lt;&gt;*.*.*.*????")*ISNUMBER(SUBSTITUTE($F17,".",)+0)*(SUMPRODUCT(ISNUMBER(FIND(ROW(INDIRECT("Z256:Z999")),$F17))*1)=0)</formula1>
    </dataValidation>
    <dataValidation type="custom" imeMode="halfAlpha" allowBlank="1" showInputMessage="1" showErrorMessage="1" error="デフォルトゲートウェイのIPアドレスを入力してください。_x000a__x000a_■入力例_x000a_192.168.100.1_x000a__x000a_■入力可能範囲_x000a_10.0.0.0～10.255.255.255_x000a_172.16.0.0～172.31.255.255_x000a_192.168.0.0～192.168.255.255_x000a_" sqref="G19:H19" xr:uid="{00000000-0002-0000-0000-00001A000000}">
      <formula1>O19</formula1>
    </dataValidation>
    <dataValidation type="custom" imeMode="halfAlpha" allowBlank="1" showInputMessage="1" showErrorMessage="1" error="DHCP機能で割り当てるIPアドレスの開始アドレスを入力してくだい。_x000a__x000a_■入力例_x000a_192.168.100.2_x000a__x000a_■入力可能範囲_x000a_10.0.0.0～10.255.255.255_x000a_172.16.0.0～172.31.255.255_x000a_192.168.0.0～192.168.255.255" sqref="G21:L21" xr:uid="{00000000-0002-0000-0000-00001B000000}">
      <formula1>O21</formula1>
    </dataValidation>
    <dataValidation type="textLength" allowBlank="1" showInputMessage="1" showErrorMessage="1" error="BBパックNextの契約ID(10桁)を入力してください。_x000a_例）0001712345" sqref="E7:L7" xr:uid="{00000000-0002-0000-0000-00001C000000}">
      <formula1>10</formula1>
      <formula2>10</formula2>
    </dataValidation>
    <dataValidation type="custom" allowBlank="1" showInputMessage="1" showErrorMessage="1" error="ポートフォワーディング先機器の_x000a_ローカルIPアドレスを入力して下さい。_x000a_例）192.168.100.50" sqref="H28:J37" xr:uid="{00000000-0002-0000-0000-00001D000000}">
      <formula1>O28</formula1>
    </dataValidation>
    <dataValidation type="list" allowBlank="1" showInputMessage="1" showErrorMessage="1" sqref="F47" xr:uid="{0DD42533-88EE-42E8-828F-B3996261B107}">
      <formula1>"indoor (W52 + W53),indoor-nodfs(W52),indoor-dfs (W53),outdoor-dfs(W56)"</formula1>
    </dataValidation>
    <dataValidation type="list" allowBlank="1" showInputMessage="1" showErrorMessage="1" sqref="F46" xr:uid="{7ADDEA9B-1D78-447D-ADEA-6B4C6C7A54D1}">
      <formula1>"11ac 40MHz,11ac 80MHz,11ac 20MHz,11n 20MHz,11n 40MHz,11a"</formula1>
    </dataValidation>
    <dataValidation type="list" allowBlank="1" showInputMessage="1" showErrorMessage="1" sqref="J19:L19" xr:uid="{00000000-0002-0000-0000-00000C000000}">
      <formula1>$N$15:$N$37</formula1>
    </dataValidation>
    <dataValidation type="list" allowBlank="1" showInputMessage="1" showErrorMessage="1" sqref="I12:L12" xr:uid="{6B5D8048-1954-4B8A-ADAB-A2D73225E47C}">
      <formula1>"リコープロバイダー(IPv4),他社プロバイダー"</formula1>
    </dataValidation>
    <dataValidation type="custom" allowBlank="1" showInputMessage="1" showErrorMessage="1" errorTitle="入力方法" error="(例)_x000a_A123-B456_x000a_4文字 ハイフン 4文字の形式で入力してください。_x000a_" promptTitle="入力方法　　　　　　　　　　　　　　　　..." prompt="(例) A123-B456_x000a_のようにハイフンを入れてく入力してください。" sqref="E8:L8" xr:uid="{44BAAD9C-DA82-4B80-BF01-D019C31F28F0}">
      <formula1>(MID(E8,5,1)="-")*(LEN(E8)=9)</formula1>
    </dataValidation>
    <dataValidation type="custom" imeMode="disabled" allowBlank="1" showInputMessage="1" showErrorMessage="1" errorTitle="確認" error="単一ポート：80 　　(数字のみ)_x000a_範囲指定：100-123 (ハイフンで区切ります)_x000a__x000a_【注意：下記ポートは指定できません】_x000a_ TCP　ポート22番（SSH）_x000a_ TCP/UDP　ポート53番（DNS)_x000a_ TCP/UDP　ポート123番（NTP）_x000a_ TCP　 ポート443番_x000a_ TCP　 ポート10443番_x000a_ UDP　ポート49152～65535番" promptTitle="入力例　　　　　　　　　　　　　　　　　　　　　　　　　…" prompt="単一ポート：80 　　(数字のみ)_x000a_範囲指定：100-123 (ハイフンで区切ります)_x000a__x000a_【注意：下記ポートは指定できません】_x000a_　TCP　ポート22番（SSH）_x000a_　TCP/UDP　ポート53番（DNS)_x000a_　TCP/UDP　ポート123番（NTP）_x000a_　TCP　 ポート443番_x000a_　TCP　 ポート10443番_x000a_　UDP　ポート49152～65535番" sqref="G28" xr:uid="{C6709381-0336-4D42-9278-D0D7B7E54E19}">
      <formula1>IF(LEN(G28)-LEN(SUBSTITUTE(G28,"-",""))=1,IF(NOT(ISERROR(AND(MOD(LEFT(G28,1),1)=0,MOD(RIGHT(G28,1),1)=0))),TRUE,FALSE),IF(AND(NOT(ISERROR(MOD(G28,1)=0)),COUNTIF(G28,"*,*")=0,COUNTIF(G28,"*/*")=0,COUNTIF(G28,"*-*")=0),TRUE,FALSE))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OrEqual" allowBlank="1" showInputMessage="1" showErrorMessage="1" error="現在の時刻から、24時間以上空けてください。" xr:uid="{00000000-0002-0000-0000-00001F000000}">
          <x14:formula1>
            <xm:f>OFFSET(参照!$D$1,0,,COUNTIF(参照!$D:$D,"?*"))</xm:f>
          </x14:formula1>
          <xm:sqref>E9</xm:sqref>
        </x14:dataValidation>
        <x14:dataValidation type="list" allowBlank="1" showInputMessage="1" showErrorMessage="1" error="時間は、10分単位で入力してください。_x000a__x000a_正：12:10 ○_x000a_誤：12:12 Ｘ_x000a_" xr:uid="{00000000-0002-0000-0000-000020000000}">
          <x14:formula1>
            <xm:f>OFFSET(参照!$H$1,,,COUNT(参照!$H:$H,"?*"))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I100"/>
  <sheetViews>
    <sheetView showGridLines="0" topLeftCell="A28" zoomScaleNormal="100" workbookViewId="0">
      <selection activeCell="F39" sqref="F39:L39"/>
    </sheetView>
  </sheetViews>
  <sheetFormatPr defaultColWidth="0" defaultRowHeight="0" customHeight="1" zeroHeight="1" x14ac:dyDescent="0.55000000000000004"/>
  <cols>
    <col min="1" max="1" width="2.7265625" style="3" customWidth="1"/>
    <col min="2" max="2" width="12" style="3" customWidth="1"/>
    <col min="3" max="3" width="9.90625" style="3" customWidth="1"/>
    <col min="4" max="4" width="11.26953125" style="3" customWidth="1"/>
    <col min="5" max="5" width="13.453125" style="3" customWidth="1"/>
    <col min="6" max="6" width="20.90625" style="3" customWidth="1"/>
    <col min="7" max="7" width="17.90625" style="3" customWidth="1"/>
    <col min="8" max="8" width="5.7265625" style="3" customWidth="1"/>
    <col min="9" max="9" width="14.26953125" style="3" customWidth="1"/>
    <col min="10" max="10" width="4.26953125" style="3" customWidth="1"/>
    <col min="11" max="11" width="9" style="3" customWidth="1"/>
    <col min="12" max="12" width="8.26953125" style="3" customWidth="1"/>
    <col min="13" max="13" width="4.08984375" style="3" customWidth="1"/>
    <col min="14" max="14" width="2.453125" style="2" hidden="1" customWidth="1"/>
    <col min="15" max="15" width="12" style="2" hidden="1" customWidth="1"/>
    <col min="16" max="34" width="3" style="3" hidden="1" customWidth="1"/>
    <col min="35" max="347" width="9" style="3" hidden="1" customWidth="1"/>
    <col min="348" max="16384" width="1" style="3" hidden="1"/>
  </cols>
  <sheetData>
    <row r="1" spans="1:15" ht="42.75" customHeight="1" x14ac:dyDescent="0.55000000000000004">
      <c r="A1" s="1"/>
      <c r="B1" s="88" t="s">
        <v>169</v>
      </c>
      <c r="C1" s="88"/>
      <c r="D1" s="88"/>
      <c r="E1" s="88"/>
      <c r="F1" s="182"/>
      <c r="G1" s="182"/>
      <c r="H1" s="182"/>
      <c r="I1" s="182"/>
      <c r="J1" s="182"/>
      <c r="K1" s="182"/>
      <c r="L1" s="182"/>
      <c r="M1" s="1"/>
      <c r="O1" s="3"/>
    </row>
    <row r="2" spans="1:15" ht="42.75" customHeight="1" x14ac:dyDescent="0.55000000000000004">
      <c r="A2" s="1"/>
      <c r="B2" s="181"/>
      <c r="C2" s="181"/>
      <c r="D2" s="181"/>
      <c r="E2" s="181"/>
      <c r="F2" s="183"/>
      <c r="G2" s="183"/>
      <c r="H2" s="183"/>
      <c r="I2" s="183"/>
      <c r="J2" s="183"/>
      <c r="K2" s="183"/>
      <c r="L2" s="183"/>
      <c r="M2" s="1"/>
      <c r="N2" s="3"/>
      <c r="O2" s="3"/>
    </row>
    <row r="3" spans="1:15" ht="16" x14ac:dyDescent="0.55000000000000004">
      <c r="A3" s="1"/>
      <c r="B3" s="89" t="s">
        <v>31</v>
      </c>
      <c r="C3" s="90"/>
      <c r="D3" s="90"/>
      <c r="E3" s="90"/>
      <c r="F3" s="90"/>
      <c r="G3" s="90"/>
      <c r="H3" s="90"/>
      <c r="I3" s="90"/>
      <c r="J3" s="90"/>
      <c r="K3" s="90"/>
      <c r="L3" s="91"/>
      <c r="M3" s="1"/>
      <c r="N3" s="3"/>
      <c r="O3" s="3"/>
    </row>
    <row r="4" spans="1:15" ht="16" x14ac:dyDescent="0.55000000000000004">
      <c r="A4" s="1"/>
      <c r="B4" s="184" t="s">
        <v>32</v>
      </c>
      <c r="C4" s="104" t="s">
        <v>30</v>
      </c>
      <c r="D4" s="105"/>
      <c r="E4" s="186" t="s">
        <v>38</v>
      </c>
      <c r="F4" s="187"/>
      <c r="G4" s="187"/>
      <c r="H4" s="187"/>
      <c r="I4" s="187"/>
      <c r="J4" s="187"/>
      <c r="K4" s="187"/>
      <c r="L4" s="188"/>
      <c r="M4" s="1"/>
      <c r="N4" s="33"/>
      <c r="O4" s="3"/>
    </row>
    <row r="5" spans="1:15" ht="16.5" customHeight="1" x14ac:dyDescent="0.55000000000000004">
      <c r="A5" s="1"/>
      <c r="B5" s="185"/>
      <c r="C5" s="189" t="s">
        <v>35</v>
      </c>
      <c r="D5" s="189"/>
      <c r="E5" s="112" t="s">
        <v>86</v>
      </c>
      <c r="F5" s="113"/>
      <c r="G5" s="113"/>
      <c r="H5" s="113"/>
      <c r="I5" s="113"/>
      <c r="J5" s="113"/>
      <c r="K5" s="113"/>
      <c r="L5" s="114"/>
      <c r="M5" s="1"/>
      <c r="N5" s="34" t="s">
        <v>55</v>
      </c>
      <c r="O5" s="3"/>
    </row>
    <row r="6" spans="1:15" ht="16.5" customHeight="1" x14ac:dyDescent="0.55000000000000004">
      <c r="A6" s="1"/>
      <c r="B6" s="56" t="s">
        <v>39</v>
      </c>
      <c r="C6" s="171" t="s">
        <v>40</v>
      </c>
      <c r="D6" s="171"/>
      <c r="E6" s="172" t="s">
        <v>166</v>
      </c>
      <c r="F6" s="173"/>
      <c r="G6" s="173"/>
      <c r="H6" s="173"/>
      <c r="I6" s="173"/>
      <c r="J6" s="173"/>
      <c r="K6" s="173"/>
      <c r="L6" s="174"/>
      <c r="M6" s="1"/>
      <c r="N6" s="34" t="s">
        <v>56</v>
      </c>
      <c r="O6" s="3"/>
    </row>
    <row r="7" spans="1:15" ht="18.75" customHeight="1" x14ac:dyDescent="0.55000000000000004">
      <c r="A7" s="1"/>
      <c r="B7" s="118" t="s">
        <v>77</v>
      </c>
      <c r="C7" s="118"/>
      <c r="D7" s="118"/>
      <c r="E7" s="175"/>
      <c r="F7" s="176"/>
      <c r="G7" s="177"/>
      <c r="H7" s="178" t="str">
        <f ca="1">"※ "&amp;TEXT((NOW()+1),"yyyy/mm/dd HH:MM"&amp;" 以降の日時が指定できます")</f>
        <v>※ 2021/04/10 15:51 以降の日時が指定できます</v>
      </c>
      <c r="I7" s="179"/>
      <c r="J7" s="179"/>
      <c r="K7" s="179"/>
      <c r="L7" s="180"/>
      <c r="M7" s="1"/>
      <c r="N7" s="34" t="s">
        <v>57</v>
      </c>
      <c r="O7" s="3"/>
    </row>
    <row r="8" spans="1:15" ht="9" customHeight="1" x14ac:dyDescent="0.55000000000000004">
      <c r="A8" s="1"/>
      <c r="B8" s="4"/>
      <c r="C8" s="4"/>
      <c r="D8" s="4"/>
      <c r="E8" s="4"/>
      <c r="F8" s="23"/>
      <c r="G8" s="23"/>
      <c r="H8" s="23"/>
      <c r="I8" s="23"/>
      <c r="J8" s="23"/>
      <c r="K8" s="23"/>
      <c r="L8" s="23"/>
      <c r="M8" s="1"/>
      <c r="N8" s="34" t="s">
        <v>58</v>
      </c>
      <c r="O8" s="3"/>
    </row>
    <row r="9" spans="1:15" ht="16" x14ac:dyDescent="0.55000000000000004">
      <c r="A9" s="1"/>
      <c r="B9" s="89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1"/>
      <c r="M9" s="1"/>
      <c r="N9" s="34"/>
      <c r="O9" s="3"/>
    </row>
    <row r="10" spans="1:15" ht="16.5" customHeight="1" x14ac:dyDescent="0.55000000000000004">
      <c r="A10" s="1"/>
      <c r="B10" s="190" t="s">
        <v>0</v>
      </c>
      <c r="C10" s="94" t="s">
        <v>88</v>
      </c>
      <c r="D10" s="95"/>
      <c r="E10" s="6" t="s">
        <v>87</v>
      </c>
      <c r="F10" s="122" t="s">
        <v>163</v>
      </c>
      <c r="G10" s="122"/>
      <c r="H10" s="6" t="s">
        <v>91</v>
      </c>
      <c r="I10" s="122" t="s">
        <v>164</v>
      </c>
      <c r="J10" s="122"/>
      <c r="K10" s="122"/>
      <c r="L10" s="122"/>
      <c r="M10" s="1"/>
      <c r="N10" s="50"/>
      <c r="O10" s="3"/>
    </row>
    <row r="11" spans="1:15" ht="32.5" customHeight="1" x14ac:dyDescent="0.55000000000000004">
      <c r="A11" s="1"/>
      <c r="B11" s="191"/>
      <c r="C11" s="96"/>
      <c r="D11" s="97"/>
      <c r="E11" s="6" t="s">
        <v>89</v>
      </c>
      <c r="F11" s="125" t="str">
        <f>IF(AND(F10="他社プロバイダー",I10="他社プロバイダー"),"他社プロバイダー から 他社プロバイダー に"&amp;CHAR(10)&amp;"切り替える場合は、回答不要です。",IF(AND(F10="",I10=""),"",IF(I10="","","上記内容は、契約変更が必要となります。"&amp;CHAR(10)&amp;"契約変更はお済みですか？")))</f>
        <v>上記内容は、契約変更が必要となります。
契約変更はお済みですか？</v>
      </c>
      <c r="G11" s="126"/>
      <c r="H11" s="126"/>
      <c r="I11" s="127"/>
      <c r="J11" s="6" t="s">
        <v>90</v>
      </c>
      <c r="K11" s="128" t="s">
        <v>92</v>
      </c>
      <c r="L11" s="130"/>
      <c r="M11" s="1"/>
      <c r="N11" s="50"/>
      <c r="O11" s="3"/>
    </row>
    <row r="12" spans="1:15" ht="16" x14ac:dyDescent="0.55000000000000004">
      <c r="A12" s="1"/>
      <c r="B12" s="191"/>
      <c r="C12" s="96"/>
      <c r="D12" s="97"/>
      <c r="E12" s="6" t="s">
        <v>1</v>
      </c>
      <c r="F12" s="128" t="s">
        <v>93</v>
      </c>
      <c r="G12" s="129"/>
      <c r="H12" s="129"/>
      <c r="I12" s="129"/>
      <c r="J12" s="129"/>
      <c r="K12" s="129"/>
      <c r="L12" s="130"/>
      <c r="M12" s="1"/>
      <c r="N12" s="3"/>
      <c r="O12" s="3"/>
    </row>
    <row r="13" spans="1:15" ht="16" x14ac:dyDescent="0.55000000000000004">
      <c r="A13" s="1"/>
      <c r="B13" s="191"/>
      <c r="C13" s="98"/>
      <c r="D13" s="99"/>
      <c r="E13" s="63" t="s">
        <v>2</v>
      </c>
      <c r="F13" s="128" t="s">
        <v>94</v>
      </c>
      <c r="G13" s="129"/>
      <c r="H13" s="129"/>
      <c r="I13" s="129"/>
      <c r="J13" s="129"/>
      <c r="K13" s="129"/>
      <c r="L13" s="130"/>
      <c r="M13" s="1"/>
      <c r="N13" s="3"/>
      <c r="O13" s="3"/>
    </row>
    <row r="14" spans="1:15" ht="16" x14ac:dyDescent="0.55000000000000004">
      <c r="A14" s="1"/>
      <c r="B14" s="191"/>
      <c r="C14" s="94" t="s">
        <v>54</v>
      </c>
      <c r="D14" s="95"/>
      <c r="E14" s="6" t="s">
        <v>153</v>
      </c>
      <c r="F14" s="119" t="s">
        <v>138</v>
      </c>
      <c r="G14" s="120"/>
      <c r="H14" s="120"/>
      <c r="I14" s="120"/>
      <c r="J14" s="120"/>
      <c r="K14" s="120"/>
      <c r="L14" s="121"/>
      <c r="M14" s="1"/>
      <c r="N14" s="3"/>
      <c r="O14" s="3"/>
    </row>
    <row r="15" spans="1:15" ht="16" x14ac:dyDescent="0.55000000000000004">
      <c r="A15" s="1"/>
      <c r="B15" s="191"/>
      <c r="C15" s="96"/>
      <c r="D15" s="97"/>
      <c r="E15" s="6" t="s">
        <v>3</v>
      </c>
      <c r="F15" s="119" t="s">
        <v>137</v>
      </c>
      <c r="G15" s="120"/>
      <c r="H15" s="120"/>
      <c r="I15" s="120"/>
      <c r="J15" s="120"/>
      <c r="K15" s="120"/>
      <c r="L15" s="121"/>
      <c r="M15" s="1"/>
      <c r="N15" s="34" t="s">
        <v>62</v>
      </c>
      <c r="O15" s="3"/>
    </row>
    <row r="16" spans="1:15" ht="16" x14ac:dyDescent="0.55000000000000004">
      <c r="A16" s="1"/>
      <c r="B16" s="192"/>
      <c r="C16" s="98"/>
      <c r="D16" s="99"/>
      <c r="E16" s="22" t="s">
        <v>4</v>
      </c>
      <c r="F16" s="119" t="s">
        <v>139</v>
      </c>
      <c r="G16" s="120"/>
      <c r="H16" s="120"/>
      <c r="I16" s="120"/>
      <c r="J16" s="120"/>
      <c r="K16" s="120"/>
      <c r="L16" s="121"/>
      <c r="M16" s="1"/>
      <c r="N16" s="34" t="s">
        <v>63</v>
      </c>
      <c r="O16" s="3"/>
    </row>
    <row r="17" spans="1:24" ht="32" x14ac:dyDescent="0.55000000000000004">
      <c r="A17" s="8"/>
      <c r="B17" s="94" t="s">
        <v>5</v>
      </c>
      <c r="C17" s="168"/>
      <c r="D17" s="168"/>
      <c r="E17" s="21" t="s">
        <v>6</v>
      </c>
      <c r="F17" s="10" t="s">
        <v>24</v>
      </c>
      <c r="G17" s="134" t="s">
        <v>41</v>
      </c>
      <c r="H17" s="136"/>
      <c r="I17" s="62" t="s">
        <v>26</v>
      </c>
      <c r="J17" s="161" t="s">
        <v>61</v>
      </c>
      <c r="K17" s="161"/>
      <c r="L17" s="161"/>
      <c r="M17" s="8"/>
      <c r="N17" s="34" t="s">
        <v>64</v>
      </c>
      <c r="O17" s="3"/>
    </row>
    <row r="18" spans="1:24" ht="16" x14ac:dyDescent="0.55000000000000004">
      <c r="A18" s="8"/>
      <c r="B18" s="96"/>
      <c r="C18" s="169"/>
      <c r="D18" s="169"/>
      <c r="E18" s="78" t="s">
        <v>7</v>
      </c>
      <c r="F18" s="12" t="s">
        <v>25</v>
      </c>
      <c r="G18" s="128" t="s">
        <v>44</v>
      </c>
      <c r="H18" s="129"/>
      <c r="I18" s="129"/>
      <c r="J18" s="129"/>
      <c r="K18" s="129"/>
      <c r="L18" s="130"/>
      <c r="M18" s="13"/>
      <c r="N18" s="34" t="s">
        <v>65</v>
      </c>
      <c r="O18" s="3"/>
    </row>
    <row r="19" spans="1:24" s="11" customFormat="1" ht="16" x14ac:dyDescent="0.2">
      <c r="A19" s="8"/>
      <c r="B19" s="96"/>
      <c r="C19" s="169"/>
      <c r="D19" s="169"/>
      <c r="E19" s="78"/>
      <c r="F19" s="14" t="s">
        <v>8</v>
      </c>
      <c r="G19" s="134" t="s">
        <v>42</v>
      </c>
      <c r="H19" s="135"/>
      <c r="I19" s="135"/>
      <c r="J19" s="135"/>
      <c r="K19" s="135"/>
      <c r="L19" s="136"/>
      <c r="M19" s="8"/>
      <c r="N19" s="34" t="s">
        <v>66</v>
      </c>
    </row>
    <row r="20" spans="1:24" s="11" customFormat="1" ht="16" x14ac:dyDescent="0.2">
      <c r="A20" s="8"/>
      <c r="B20" s="96"/>
      <c r="C20" s="169"/>
      <c r="D20" s="169"/>
      <c r="E20" s="78"/>
      <c r="F20" s="14" t="s">
        <v>9</v>
      </c>
      <c r="G20" s="134" t="s">
        <v>43</v>
      </c>
      <c r="H20" s="135"/>
      <c r="I20" s="136"/>
      <c r="J20" s="193" t="s">
        <v>10</v>
      </c>
      <c r="K20" s="193"/>
      <c r="L20" s="194"/>
      <c r="M20" s="8"/>
      <c r="N20" s="34" t="s">
        <v>67</v>
      </c>
    </row>
    <row r="21" spans="1:24" s="11" customFormat="1" ht="16" x14ac:dyDescent="0.2">
      <c r="A21" s="8"/>
      <c r="B21" s="96"/>
      <c r="C21" s="169"/>
      <c r="D21" s="169"/>
      <c r="E21" s="78"/>
      <c r="F21" s="78" t="s">
        <v>11</v>
      </c>
      <c r="G21" s="6" t="s">
        <v>3</v>
      </c>
      <c r="H21" s="134" t="s">
        <v>41</v>
      </c>
      <c r="I21" s="135"/>
      <c r="J21" s="135"/>
      <c r="K21" s="135"/>
      <c r="L21" s="136"/>
      <c r="M21" s="8"/>
      <c r="N21" s="34" t="s">
        <v>68</v>
      </c>
    </row>
    <row r="22" spans="1:24" s="11" customFormat="1" ht="16" x14ac:dyDescent="0.2">
      <c r="A22" s="8"/>
      <c r="B22" s="98"/>
      <c r="C22" s="170"/>
      <c r="D22" s="170"/>
      <c r="E22" s="78"/>
      <c r="F22" s="78"/>
      <c r="G22" s="22" t="s">
        <v>4</v>
      </c>
      <c r="H22" s="134" t="s">
        <v>136</v>
      </c>
      <c r="I22" s="135"/>
      <c r="J22" s="135"/>
      <c r="K22" s="135"/>
      <c r="L22" s="136"/>
      <c r="M22" s="8"/>
      <c r="N22" s="34" t="s">
        <v>69</v>
      </c>
    </row>
    <row r="23" spans="1:24" s="11" customFormat="1" ht="16" x14ac:dyDescent="0.2">
      <c r="A23" s="8"/>
      <c r="B23" s="131" t="s">
        <v>13</v>
      </c>
      <c r="C23" s="132"/>
      <c r="D23" s="132"/>
      <c r="E23" s="133"/>
      <c r="F23" s="12" t="s">
        <v>25</v>
      </c>
      <c r="G23" s="128" t="s">
        <v>44</v>
      </c>
      <c r="H23" s="129"/>
      <c r="I23" s="129"/>
      <c r="J23" s="129"/>
      <c r="K23" s="129"/>
      <c r="L23" s="130"/>
      <c r="M23" s="8"/>
      <c r="N23" s="34" t="s">
        <v>70</v>
      </c>
    </row>
    <row r="24" spans="1:24" s="30" customFormat="1" ht="15.75" customHeight="1" x14ac:dyDescent="0.2">
      <c r="A24" s="24"/>
      <c r="B24" s="144" t="s">
        <v>154</v>
      </c>
      <c r="C24" s="195" t="s">
        <v>25</v>
      </c>
      <c r="D24" s="195"/>
      <c r="E24" s="195"/>
      <c r="F24" s="84" t="s">
        <v>37</v>
      </c>
      <c r="G24" s="85"/>
      <c r="H24" s="85"/>
      <c r="I24" s="85"/>
      <c r="J24" s="85"/>
      <c r="K24" s="85"/>
      <c r="L24" s="86"/>
      <c r="M24" s="24"/>
      <c r="N24" s="34" t="s">
        <v>71</v>
      </c>
      <c r="O24" s="25"/>
      <c r="P24" s="26"/>
      <c r="Q24" s="27"/>
      <c r="R24" s="28"/>
      <c r="S24" s="29"/>
      <c r="T24" s="29"/>
      <c r="U24" s="29"/>
      <c r="V24" s="29"/>
      <c r="W24" s="29"/>
      <c r="X24" s="29"/>
    </row>
    <row r="25" spans="1:24" s="11" customFormat="1" ht="18.75" customHeight="1" x14ac:dyDescent="0.2">
      <c r="A25" s="8"/>
      <c r="B25" s="145"/>
      <c r="C25" s="78" t="s">
        <v>14</v>
      </c>
      <c r="D25" s="49" t="s">
        <v>165</v>
      </c>
      <c r="E25" s="15" t="s">
        <v>15</v>
      </c>
      <c r="F25" s="19" t="s">
        <v>16</v>
      </c>
      <c r="G25" s="19" t="s">
        <v>17</v>
      </c>
      <c r="H25" s="131" t="s">
        <v>18</v>
      </c>
      <c r="I25" s="132"/>
      <c r="J25" s="133"/>
      <c r="K25" s="131" t="s">
        <v>19</v>
      </c>
      <c r="L25" s="133"/>
      <c r="M25" s="8"/>
      <c r="N25" s="34" t="s">
        <v>36</v>
      </c>
    </row>
    <row r="26" spans="1:24" s="11" customFormat="1" ht="18.75" customHeight="1" x14ac:dyDescent="0.2">
      <c r="A26" s="8"/>
      <c r="B26" s="145"/>
      <c r="C26" s="78"/>
      <c r="D26" s="17" t="s">
        <v>95</v>
      </c>
      <c r="E26" s="18" t="s">
        <v>46</v>
      </c>
      <c r="F26" s="20" t="s">
        <v>47</v>
      </c>
      <c r="G26" s="20" t="s">
        <v>48</v>
      </c>
      <c r="H26" s="134" t="s">
        <v>49</v>
      </c>
      <c r="I26" s="135"/>
      <c r="J26" s="136"/>
      <c r="K26" s="134" t="s">
        <v>48</v>
      </c>
      <c r="L26" s="136"/>
      <c r="M26" s="8"/>
      <c r="N26" s="34" t="s">
        <v>72</v>
      </c>
    </row>
    <row r="27" spans="1:24" s="11" customFormat="1" ht="18.75" customHeight="1" x14ac:dyDescent="0.2">
      <c r="A27" s="8"/>
      <c r="B27" s="145"/>
      <c r="C27" s="78"/>
      <c r="D27" s="17" t="s">
        <v>45</v>
      </c>
      <c r="E27" s="18" t="s">
        <v>85</v>
      </c>
      <c r="F27" s="20" t="s">
        <v>50</v>
      </c>
      <c r="G27" s="40" t="s">
        <v>51</v>
      </c>
      <c r="H27" s="134" t="s">
        <v>52</v>
      </c>
      <c r="I27" s="135"/>
      <c r="J27" s="136"/>
      <c r="K27" s="134" t="s">
        <v>51</v>
      </c>
      <c r="L27" s="136"/>
      <c r="M27" s="8"/>
      <c r="N27" s="34" t="s">
        <v>73</v>
      </c>
    </row>
    <row r="28" spans="1:24" s="11" customFormat="1" ht="18.75" customHeight="1" x14ac:dyDescent="0.2">
      <c r="A28" s="8"/>
      <c r="B28" s="145"/>
      <c r="C28" s="78"/>
      <c r="D28" s="17" t="s">
        <v>45</v>
      </c>
      <c r="E28" s="20" t="s">
        <v>82</v>
      </c>
      <c r="F28" s="38" t="s">
        <v>47</v>
      </c>
      <c r="G28" s="43" t="s">
        <v>84</v>
      </c>
      <c r="H28" s="135" t="s">
        <v>83</v>
      </c>
      <c r="I28" s="135"/>
      <c r="J28" s="136"/>
      <c r="K28" s="134" t="s">
        <v>84</v>
      </c>
      <c r="L28" s="136"/>
      <c r="M28" s="8"/>
      <c r="N28" s="34" t="s">
        <v>74</v>
      </c>
    </row>
    <row r="29" spans="1:24" s="11" customFormat="1" ht="18.75" customHeight="1" x14ac:dyDescent="0.2">
      <c r="A29" s="8"/>
      <c r="B29" s="145"/>
      <c r="C29" s="78"/>
      <c r="D29" s="17" t="s">
        <v>45</v>
      </c>
      <c r="E29" s="20" t="s">
        <v>96</v>
      </c>
      <c r="F29" s="38" t="s">
        <v>47</v>
      </c>
      <c r="G29" s="44" t="s">
        <v>48</v>
      </c>
      <c r="H29" s="135" t="s">
        <v>97</v>
      </c>
      <c r="I29" s="135"/>
      <c r="J29" s="136"/>
      <c r="K29" s="134" t="s">
        <v>48</v>
      </c>
      <c r="L29" s="136"/>
      <c r="M29" s="8"/>
      <c r="N29" s="34" t="s">
        <v>75</v>
      </c>
    </row>
    <row r="30" spans="1:24" s="11" customFormat="1" ht="18.75" customHeight="1" x14ac:dyDescent="0.2">
      <c r="A30" s="8"/>
      <c r="B30" s="145"/>
      <c r="C30" s="78"/>
      <c r="D30" s="17"/>
      <c r="E30" s="20"/>
      <c r="F30" s="38"/>
      <c r="G30" s="45"/>
      <c r="H30" s="135"/>
      <c r="I30" s="135"/>
      <c r="J30" s="136"/>
      <c r="K30" s="83"/>
      <c r="L30" s="83"/>
      <c r="M30" s="8"/>
      <c r="N30" s="34" t="s">
        <v>76</v>
      </c>
    </row>
    <row r="31" spans="1:24" s="11" customFormat="1" ht="18.75" customHeight="1" x14ac:dyDescent="0.2">
      <c r="A31" s="8"/>
      <c r="B31" s="145"/>
      <c r="C31" s="78"/>
      <c r="D31" s="17"/>
      <c r="E31" s="20"/>
      <c r="F31" s="20"/>
      <c r="G31" s="41"/>
      <c r="H31" s="134"/>
      <c r="I31" s="135"/>
      <c r="J31" s="136"/>
      <c r="K31" s="83"/>
      <c r="L31" s="83"/>
      <c r="M31" s="8"/>
      <c r="N31" s="35"/>
    </row>
    <row r="32" spans="1:24" s="11" customFormat="1" ht="18.75" customHeight="1" x14ac:dyDescent="0.2">
      <c r="A32" s="8"/>
      <c r="B32" s="145"/>
      <c r="C32" s="78"/>
      <c r="D32" s="17"/>
      <c r="E32" s="20"/>
      <c r="F32" s="20"/>
      <c r="G32" s="20"/>
      <c r="H32" s="134"/>
      <c r="I32" s="135"/>
      <c r="J32" s="136"/>
      <c r="K32" s="83"/>
      <c r="L32" s="83"/>
      <c r="M32" s="8"/>
      <c r="N32" s="35"/>
    </row>
    <row r="33" spans="1:24" s="11" customFormat="1" ht="18.75" customHeight="1" x14ac:dyDescent="0.2">
      <c r="A33" s="8"/>
      <c r="B33" s="145"/>
      <c r="C33" s="78"/>
      <c r="D33" s="17"/>
      <c r="E33" s="20"/>
      <c r="F33" s="20"/>
      <c r="G33" s="20"/>
      <c r="H33" s="134"/>
      <c r="I33" s="135"/>
      <c r="J33" s="136"/>
      <c r="K33" s="83"/>
      <c r="L33" s="83"/>
      <c r="M33" s="8"/>
      <c r="N33" s="35"/>
    </row>
    <row r="34" spans="1:24" s="11" customFormat="1" ht="18.75" customHeight="1" x14ac:dyDescent="0.2">
      <c r="A34" s="8"/>
      <c r="B34" s="145"/>
      <c r="C34" s="78"/>
      <c r="D34" s="17"/>
      <c r="E34" s="20"/>
      <c r="F34" s="20"/>
      <c r="G34" s="20"/>
      <c r="H34" s="134"/>
      <c r="I34" s="135"/>
      <c r="J34" s="136"/>
      <c r="K34" s="83"/>
      <c r="L34" s="83"/>
      <c r="M34" s="8"/>
      <c r="N34" s="35"/>
    </row>
    <row r="35" spans="1:24" s="11" customFormat="1" ht="18.75" customHeight="1" x14ac:dyDescent="0.2">
      <c r="A35" s="8"/>
      <c r="B35" s="146"/>
      <c r="C35" s="78"/>
      <c r="D35" s="17"/>
      <c r="E35" s="20"/>
      <c r="F35" s="20"/>
      <c r="G35" s="20"/>
      <c r="H35" s="134"/>
      <c r="I35" s="135"/>
      <c r="J35" s="136"/>
      <c r="K35" s="83"/>
      <c r="L35" s="83"/>
      <c r="M35" s="8"/>
      <c r="N35" s="35"/>
    </row>
    <row r="36" spans="1:24" s="11" customFormat="1" ht="9.75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</row>
    <row r="37" spans="1:24" s="11" customFormat="1" ht="16" x14ac:dyDescent="0.55000000000000004">
      <c r="A37" s="3"/>
      <c r="B37" s="89" t="s">
        <v>28</v>
      </c>
      <c r="C37" s="90"/>
      <c r="D37" s="90"/>
      <c r="E37" s="90"/>
      <c r="F37" s="90"/>
      <c r="G37" s="90"/>
      <c r="H37" s="90"/>
      <c r="I37" s="90"/>
      <c r="J37" s="90"/>
      <c r="K37" s="90"/>
      <c r="L37" s="91"/>
      <c r="M37" s="1"/>
      <c r="N37" s="35"/>
    </row>
    <row r="38" spans="1:24" s="11" customFormat="1" ht="16" x14ac:dyDescent="0.55000000000000004">
      <c r="A38" s="3"/>
      <c r="B38" s="78" t="s">
        <v>34</v>
      </c>
      <c r="C38" s="78" t="s">
        <v>27</v>
      </c>
      <c r="D38" s="78"/>
      <c r="E38" s="78"/>
      <c r="F38" s="82" t="s">
        <v>37</v>
      </c>
      <c r="G38" s="82"/>
      <c r="H38" s="82"/>
      <c r="I38" s="82"/>
      <c r="J38" s="82"/>
      <c r="K38" s="82"/>
      <c r="L38" s="82"/>
      <c r="M38" s="1"/>
      <c r="N38" s="35"/>
    </row>
    <row r="39" spans="1:24" ht="16" x14ac:dyDescent="0.55000000000000004">
      <c r="B39" s="78"/>
      <c r="C39" s="78" t="s">
        <v>20</v>
      </c>
      <c r="D39" s="78"/>
      <c r="E39" s="78"/>
      <c r="F39" s="83" t="s">
        <v>78</v>
      </c>
      <c r="G39" s="83"/>
      <c r="H39" s="83"/>
      <c r="I39" s="83"/>
      <c r="J39" s="83"/>
      <c r="K39" s="83"/>
      <c r="L39" s="83"/>
      <c r="M39" s="1"/>
      <c r="N39" s="35"/>
      <c r="O39" s="3"/>
    </row>
    <row r="40" spans="1:24" ht="16" x14ac:dyDescent="0.55000000000000004">
      <c r="B40" s="78"/>
      <c r="C40" s="78" t="s">
        <v>21</v>
      </c>
      <c r="D40" s="78"/>
      <c r="E40" s="78"/>
      <c r="F40" s="82" t="s">
        <v>53</v>
      </c>
      <c r="G40" s="82"/>
      <c r="H40" s="82"/>
      <c r="I40" s="82"/>
      <c r="J40" s="82"/>
      <c r="K40" s="82"/>
      <c r="L40" s="82"/>
      <c r="M40" s="1"/>
      <c r="N40" s="35"/>
      <c r="O40" s="3"/>
    </row>
    <row r="41" spans="1:24" ht="16" x14ac:dyDescent="0.55000000000000004">
      <c r="B41" s="78"/>
      <c r="C41" s="78" t="s">
        <v>22</v>
      </c>
      <c r="D41" s="78"/>
      <c r="E41" s="78"/>
      <c r="F41" s="83" t="s">
        <v>79</v>
      </c>
      <c r="G41" s="83"/>
      <c r="H41" s="83"/>
      <c r="I41" s="83"/>
      <c r="J41" s="83"/>
      <c r="K41" s="83"/>
      <c r="L41" s="83"/>
      <c r="M41" s="1"/>
      <c r="N41" s="33"/>
      <c r="O41" s="3"/>
    </row>
    <row r="42" spans="1:24" ht="16" x14ac:dyDescent="0.55000000000000004">
      <c r="B42" s="78"/>
      <c r="C42" s="78" t="s">
        <v>23</v>
      </c>
      <c r="D42" s="78"/>
      <c r="E42" s="78"/>
      <c r="F42" s="83"/>
      <c r="G42" s="83"/>
      <c r="H42" s="83"/>
      <c r="I42" s="83"/>
      <c r="J42" s="83"/>
      <c r="K42" s="83"/>
      <c r="L42" s="83"/>
      <c r="M42" s="1"/>
      <c r="N42" s="33"/>
      <c r="O42" s="3"/>
    </row>
    <row r="43" spans="1:24" ht="16" x14ac:dyDescent="0.55000000000000004">
      <c r="B43" s="78" t="s">
        <v>33</v>
      </c>
      <c r="C43" s="78" t="s">
        <v>27</v>
      </c>
      <c r="D43" s="78"/>
      <c r="E43" s="78"/>
      <c r="F43" s="82" t="s">
        <v>37</v>
      </c>
      <c r="G43" s="82"/>
      <c r="H43" s="82"/>
      <c r="I43" s="82"/>
      <c r="J43" s="82"/>
      <c r="K43" s="82"/>
      <c r="L43" s="82"/>
      <c r="M43" s="1"/>
      <c r="N43" s="33"/>
      <c r="O43" s="3"/>
    </row>
    <row r="44" spans="1:24" s="57" customFormat="1" ht="15" x14ac:dyDescent="0.2">
      <c r="B44" s="78"/>
      <c r="C44" s="87" t="s">
        <v>156</v>
      </c>
      <c r="D44" s="87"/>
      <c r="E44" s="87"/>
      <c r="F44" s="84" t="s">
        <v>158</v>
      </c>
      <c r="G44" s="85"/>
      <c r="H44" s="85"/>
      <c r="I44" s="85"/>
      <c r="J44" s="85"/>
      <c r="K44" s="85"/>
      <c r="L44" s="86"/>
      <c r="M44" s="58"/>
      <c r="N44" s="59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s="57" customFormat="1" ht="15" x14ac:dyDescent="0.2">
      <c r="B45" s="78"/>
      <c r="C45" s="87" t="s">
        <v>155</v>
      </c>
      <c r="D45" s="87"/>
      <c r="E45" s="87"/>
      <c r="F45" s="84" t="s">
        <v>162</v>
      </c>
      <c r="G45" s="85"/>
      <c r="H45" s="85"/>
      <c r="I45" s="85"/>
      <c r="J45" s="85"/>
      <c r="K45" s="85"/>
      <c r="L45" s="86"/>
      <c r="M45" s="58"/>
      <c r="N45" s="59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ht="16" x14ac:dyDescent="0.55000000000000004">
      <c r="B46" s="78"/>
      <c r="C46" s="78" t="s">
        <v>20</v>
      </c>
      <c r="D46" s="78"/>
      <c r="E46" s="78"/>
      <c r="F46" s="83" t="s">
        <v>80</v>
      </c>
      <c r="G46" s="83"/>
      <c r="H46" s="83"/>
      <c r="I46" s="83"/>
      <c r="J46" s="83"/>
      <c r="K46" s="83"/>
      <c r="L46" s="83"/>
      <c r="M46" s="1"/>
      <c r="N46" s="33"/>
      <c r="O46" s="3"/>
    </row>
    <row r="47" spans="1:24" ht="16" x14ac:dyDescent="0.55000000000000004">
      <c r="B47" s="78"/>
      <c r="C47" s="78" t="s">
        <v>21</v>
      </c>
      <c r="D47" s="78"/>
      <c r="E47" s="78"/>
      <c r="F47" s="82" t="s">
        <v>53</v>
      </c>
      <c r="G47" s="82"/>
      <c r="H47" s="82"/>
      <c r="I47" s="82"/>
      <c r="J47" s="82"/>
      <c r="K47" s="82"/>
      <c r="L47" s="82"/>
      <c r="M47" s="1"/>
      <c r="N47" s="33"/>
      <c r="O47" s="3"/>
    </row>
    <row r="48" spans="1:24" ht="16" x14ac:dyDescent="0.55000000000000004">
      <c r="B48" s="78"/>
      <c r="C48" s="78" t="s">
        <v>22</v>
      </c>
      <c r="D48" s="78"/>
      <c r="E48" s="78"/>
      <c r="F48" s="155" t="s">
        <v>79</v>
      </c>
      <c r="G48" s="83"/>
      <c r="H48" s="83"/>
      <c r="I48" s="83"/>
      <c r="J48" s="83"/>
      <c r="K48" s="83"/>
      <c r="L48" s="83"/>
      <c r="M48" s="1"/>
      <c r="N48" s="33"/>
      <c r="O48" s="3"/>
    </row>
    <row r="49" spans="1:15" ht="16" x14ac:dyDescent="0.55000000000000004">
      <c r="B49" s="78"/>
      <c r="C49" s="78" t="s">
        <v>23</v>
      </c>
      <c r="D49" s="78"/>
      <c r="E49" s="78"/>
      <c r="F49" s="83"/>
      <c r="G49" s="83"/>
      <c r="H49" s="83"/>
      <c r="I49" s="83"/>
      <c r="J49" s="83"/>
      <c r="K49" s="83"/>
      <c r="L49" s="83"/>
      <c r="M49" s="1"/>
      <c r="N49" s="33"/>
      <c r="O49" s="3"/>
    </row>
    <row r="50" spans="1:15" ht="7.5" customHeight="1" x14ac:dyDescent="0.55000000000000004">
      <c r="N50" s="33"/>
      <c r="O50" s="3"/>
    </row>
    <row r="51" spans="1:15" ht="16" x14ac:dyDescent="0.55000000000000004">
      <c r="A51" s="1"/>
      <c r="B51" s="141" t="s">
        <v>131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3"/>
      <c r="M51" s="1"/>
      <c r="N51" s="47"/>
      <c r="O51" s="3"/>
    </row>
    <row r="52" spans="1:15" ht="16.5" customHeight="1" x14ac:dyDescent="0.55000000000000004">
      <c r="A52" s="1"/>
      <c r="B52" s="137" t="s">
        <v>130</v>
      </c>
      <c r="C52" s="137"/>
      <c r="D52" s="137"/>
      <c r="E52" s="125" t="s">
        <v>134</v>
      </c>
      <c r="F52" s="126"/>
      <c r="G52" s="152" t="s">
        <v>135</v>
      </c>
      <c r="H52" s="153"/>
      <c r="I52" s="153"/>
      <c r="J52" s="153"/>
      <c r="K52" s="153"/>
      <c r="L52" s="154"/>
      <c r="M52" s="1"/>
      <c r="N52" s="47"/>
      <c r="O52" s="3"/>
    </row>
    <row r="53" spans="1:15" ht="44" customHeight="1" x14ac:dyDescent="0.55000000000000004">
      <c r="A53" s="1"/>
      <c r="B53" s="199" t="s">
        <v>151</v>
      </c>
      <c r="C53" s="147" t="s">
        <v>129</v>
      </c>
      <c r="D53" s="148"/>
      <c r="E53" s="156" t="s">
        <v>161</v>
      </c>
      <c r="F53" s="157"/>
      <c r="G53" s="158" t="s">
        <v>167</v>
      </c>
      <c r="H53" s="159"/>
      <c r="I53" s="159"/>
      <c r="J53" s="159"/>
      <c r="K53" s="159"/>
      <c r="L53" s="160"/>
      <c r="M53" s="1"/>
      <c r="N53" s="47"/>
      <c r="O53" s="3"/>
    </row>
    <row r="54" spans="1:15" ht="16" x14ac:dyDescent="0.55000000000000004">
      <c r="A54" s="1"/>
      <c r="B54" s="200"/>
      <c r="C54" s="137" t="s">
        <v>141</v>
      </c>
      <c r="D54" s="137"/>
      <c r="E54" s="196"/>
      <c r="F54" s="197"/>
      <c r="G54" s="197"/>
      <c r="H54" s="197"/>
      <c r="I54" s="197"/>
      <c r="J54" s="197"/>
      <c r="K54" s="197"/>
      <c r="L54" s="198"/>
      <c r="M54" s="1"/>
      <c r="N54" s="47"/>
      <c r="O54" s="3"/>
    </row>
    <row r="55" spans="1:15" ht="16" x14ac:dyDescent="0.55000000000000004">
      <c r="A55" s="1"/>
      <c r="B55" s="200"/>
      <c r="C55" s="137" t="s">
        <v>142</v>
      </c>
      <c r="D55" s="137"/>
      <c r="E55" s="196" t="s">
        <v>132</v>
      </c>
      <c r="F55" s="197"/>
      <c r="G55" s="197"/>
      <c r="H55" s="197"/>
      <c r="I55" s="197"/>
      <c r="J55" s="197"/>
      <c r="K55" s="197"/>
      <c r="L55" s="198"/>
      <c r="M55" s="1"/>
      <c r="N55" s="47"/>
      <c r="O55" s="3"/>
    </row>
    <row r="56" spans="1:15" ht="16" x14ac:dyDescent="0.55000000000000004">
      <c r="A56" s="1"/>
      <c r="B56" s="200"/>
      <c r="C56" s="137" t="s">
        <v>143</v>
      </c>
      <c r="D56" s="137"/>
      <c r="E56" s="196"/>
      <c r="F56" s="197"/>
      <c r="G56" s="197"/>
      <c r="H56" s="197"/>
      <c r="I56" s="197"/>
      <c r="J56" s="197"/>
      <c r="K56" s="197"/>
      <c r="L56" s="198"/>
      <c r="M56" s="1"/>
      <c r="N56" s="47"/>
      <c r="O56" s="3"/>
    </row>
    <row r="57" spans="1:15" ht="16" x14ac:dyDescent="0.55000000000000004">
      <c r="A57" s="1"/>
      <c r="B57" s="200"/>
      <c r="C57" s="137" t="s">
        <v>144</v>
      </c>
      <c r="D57" s="137"/>
      <c r="E57" s="196"/>
      <c r="F57" s="197"/>
      <c r="G57" s="197"/>
      <c r="H57" s="197"/>
      <c r="I57" s="197"/>
      <c r="J57" s="197"/>
      <c r="K57" s="197"/>
      <c r="L57" s="198"/>
      <c r="M57" s="1"/>
      <c r="N57" s="47"/>
      <c r="O57" s="3"/>
    </row>
    <row r="58" spans="1:15" ht="16" x14ac:dyDescent="0.55000000000000004">
      <c r="A58" s="1"/>
      <c r="B58" s="200"/>
      <c r="C58" s="137" t="s">
        <v>145</v>
      </c>
      <c r="D58" s="137"/>
      <c r="E58" s="196" t="s">
        <v>133</v>
      </c>
      <c r="F58" s="197"/>
      <c r="G58" s="197"/>
      <c r="H58" s="197"/>
      <c r="I58" s="197"/>
      <c r="J58" s="197"/>
      <c r="K58" s="197"/>
      <c r="L58" s="198"/>
      <c r="M58" s="1"/>
      <c r="N58" s="47"/>
      <c r="O58" s="3"/>
    </row>
    <row r="59" spans="1:15" ht="16" x14ac:dyDescent="0.55000000000000004">
      <c r="A59" s="1"/>
      <c r="B59" s="200"/>
      <c r="C59" s="137" t="s">
        <v>146</v>
      </c>
      <c r="D59" s="137"/>
      <c r="E59" s="196"/>
      <c r="F59" s="197"/>
      <c r="G59" s="197"/>
      <c r="H59" s="197"/>
      <c r="I59" s="197"/>
      <c r="J59" s="197"/>
      <c r="K59" s="197"/>
      <c r="L59" s="198"/>
      <c r="M59" s="1"/>
      <c r="N59" s="47"/>
      <c r="O59" s="3"/>
    </row>
    <row r="60" spans="1:15" ht="16" x14ac:dyDescent="0.55000000000000004">
      <c r="A60" s="1"/>
      <c r="B60" s="200"/>
      <c r="C60" s="137" t="s">
        <v>147</v>
      </c>
      <c r="D60" s="137"/>
      <c r="E60" s="196"/>
      <c r="F60" s="197"/>
      <c r="G60" s="197"/>
      <c r="H60" s="197"/>
      <c r="I60" s="197"/>
      <c r="J60" s="197"/>
      <c r="K60" s="197"/>
      <c r="L60" s="198"/>
      <c r="M60" s="1"/>
      <c r="N60" s="47"/>
      <c r="O60" s="3"/>
    </row>
    <row r="61" spans="1:15" ht="16" x14ac:dyDescent="0.55000000000000004">
      <c r="A61" s="1"/>
      <c r="B61" s="200"/>
      <c r="C61" s="137" t="s">
        <v>148</v>
      </c>
      <c r="D61" s="137"/>
      <c r="E61" s="196"/>
      <c r="F61" s="197"/>
      <c r="G61" s="197"/>
      <c r="H61" s="197"/>
      <c r="I61" s="197"/>
      <c r="J61" s="197"/>
      <c r="K61" s="197"/>
      <c r="L61" s="198"/>
      <c r="M61" s="1"/>
      <c r="N61" s="47"/>
      <c r="O61" s="3"/>
    </row>
    <row r="62" spans="1:15" ht="16" x14ac:dyDescent="0.55000000000000004">
      <c r="A62" s="1"/>
      <c r="B62" s="200"/>
      <c r="C62" s="137" t="s">
        <v>149</v>
      </c>
      <c r="D62" s="137"/>
      <c r="E62" s="196"/>
      <c r="F62" s="197"/>
      <c r="G62" s="197"/>
      <c r="H62" s="197"/>
      <c r="I62" s="197"/>
      <c r="J62" s="197"/>
      <c r="K62" s="197"/>
      <c r="L62" s="198"/>
      <c r="M62" s="1"/>
      <c r="N62" s="47"/>
      <c r="O62" s="3"/>
    </row>
    <row r="63" spans="1:15" ht="16" x14ac:dyDescent="0.55000000000000004">
      <c r="A63" s="1"/>
      <c r="B63" s="201"/>
      <c r="C63" s="137" t="s">
        <v>150</v>
      </c>
      <c r="D63" s="137"/>
      <c r="E63" s="196"/>
      <c r="F63" s="197"/>
      <c r="G63" s="197"/>
      <c r="H63" s="197"/>
      <c r="I63" s="197"/>
      <c r="J63" s="197"/>
      <c r="K63" s="197"/>
      <c r="L63" s="198"/>
      <c r="M63" s="1"/>
      <c r="N63" s="47"/>
      <c r="O63" s="3"/>
    </row>
    <row r="64" spans="1:15" ht="4.5" customHeight="1" x14ac:dyDescent="0.55000000000000004">
      <c r="N64" s="33"/>
      <c r="O64" s="3"/>
    </row>
    <row r="65" spans="14:15" ht="16" hidden="1" x14ac:dyDescent="0.55000000000000004">
      <c r="N65" s="33"/>
      <c r="O65" s="3"/>
    </row>
    <row r="66" spans="14:15" ht="16" hidden="1" x14ac:dyDescent="0.55000000000000004">
      <c r="N66" s="33"/>
      <c r="O66" s="3"/>
    </row>
    <row r="67" spans="14:15" ht="16" hidden="1" x14ac:dyDescent="0.55000000000000004">
      <c r="N67" s="33"/>
      <c r="O67" s="3"/>
    </row>
    <row r="68" spans="14:15" ht="16" hidden="1" x14ac:dyDescent="0.55000000000000004">
      <c r="N68" s="33"/>
      <c r="O68" s="3"/>
    </row>
    <row r="69" spans="14:15" ht="16" hidden="1" x14ac:dyDescent="0.55000000000000004">
      <c r="N69" s="33"/>
      <c r="O69" s="3"/>
    </row>
    <row r="70" spans="14:15" ht="16" hidden="1" x14ac:dyDescent="0.55000000000000004">
      <c r="N70" s="33"/>
      <c r="O70" s="3"/>
    </row>
    <row r="71" spans="14:15" ht="16" hidden="1" x14ac:dyDescent="0.55000000000000004">
      <c r="N71" s="33"/>
      <c r="O71" s="3"/>
    </row>
    <row r="72" spans="14:15" ht="16" hidden="1" x14ac:dyDescent="0.55000000000000004">
      <c r="N72" s="33"/>
      <c r="O72" s="3"/>
    </row>
    <row r="73" spans="14:15" ht="16" hidden="1" x14ac:dyDescent="0.55000000000000004">
      <c r="N73" s="33"/>
      <c r="O73" s="3"/>
    </row>
    <row r="74" spans="14:15" ht="16" hidden="1" x14ac:dyDescent="0.55000000000000004">
      <c r="N74" s="33"/>
      <c r="O74" s="3"/>
    </row>
    <row r="75" spans="14:15" ht="16" hidden="1" x14ac:dyDescent="0.55000000000000004">
      <c r="N75" s="33"/>
      <c r="O75" s="3"/>
    </row>
    <row r="76" spans="14:15" ht="16" hidden="1" x14ac:dyDescent="0.55000000000000004">
      <c r="N76" s="33"/>
      <c r="O76" s="3"/>
    </row>
    <row r="77" spans="14:15" ht="16" hidden="1" x14ac:dyDescent="0.55000000000000004">
      <c r="N77" s="33"/>
      <c r="O77" s="3"/>
    </row>
    <row r="78" spans="14:15" ht="16" hidden="1" x14ac:dyDescent="0.55000000000000004">
      <c r="N78" s="33"/>
      <c r="O78" s="3"/>
    </row>
    <row r="79" spans="14:15" ht="16" hidden="1" x14ac:dyDescent="0.55000000000000004">
      <c r="N79" s="33"/>
      <c r="O79" s="3"/>
    </row>
    <row r="80" spans="14:15" ht="16" hidden="1" x14ac:dyDescent="0.55000000000000004">
      <c r="N80" s="33"/>
      <c r="O80" s="3"/>
    </row>
    <row r="81" spans="14:15" ht="16" hidden="1" x14ac:dyDescent="0.55000000000000004">
      <c r="N81" s="33"/>
      <c r="O81" s="3"/>
    </row>
    <row r="82" spans="14:15" ht="16" hidden="1" x14ac:dyDescent="0.55000000000000004">
      <c r="N82" s="33"/>
      <c r="O82" s="3"/>
    </row>
    <row r="83" spans="14:15" ht="16" hidden="1" x14ac:dyDescent="0.55000000000000004">
      <c r="N83" s="33"/>
      <c r="O83" s="3"/>
    </row>
    <row r="84" spans="14:15" ht="16" hidden="1" x14ac:dyDescent="0.55000000000000004">
      <c r="N84" s="33"/>
      <c r="O84" s="3"/>
    </row>
    <row r="85" spans="14:15" ht="16" hidden="1" x14ac:dyDescent="0.55000000000000004">
      <c r="N85" s="33"/>
      <c r="O85" s="3"/>
    </row>
    <row r="86" spans="14:15" ht="16" hidden="1" x14ac:dyDescent="0.55000000000000004">
      <c r="N86" s="33"/>
      <c r="O86" s="3"/>
    </row>
    <row r="87" spans="14:15" ht="16" hidden="1" x14ac:dyDescent="0.55000000000000004">
      <c r="N87" s="33"/>
      <c r="O87" s="3"/>
    </row>
    <row r="88" spans="14:15" ht="16" hidden="1" x14ac:dyDescent="0.55000000000000004">
      <c r="N88" s="33"/>
      <c r="O88" s="3"/>
    </row>
    <row r="89" spans="14:15" ht="16" hidden="1" x14ac:dyDescent="0.55000000000000004">
      <c r="N89" s="33"/>
      <c r="O89" s="3"/>
    </row>
    <row r="90" spans="14:15" ht="16" hidden="1" x14ac:dyDescent="0.55000000000000004">
      <c r="N90" s="33"/>
      <c r="O90" s="3"/>
    </row>
    <row r="91" spans="14:15" ht="16" hidden="1" x14ac:dyDescent="0.55000000000000004">
      <c r="N91" s="33"/>
      <c r="O91" s="3"/>
    </row>
    <row r="92" spans="14:15" ht="16" hidden="1" x14ac:dyDescent="0.55000000000000004">
      <c r="N92" s="33"/>
      <c r="O92" s="3"/>
    </row>
    <row r="93" spans="14:15" ht="16" hidden="1" x14ac:dyDescent="0.55000000000000004">
      <c r="N93" s="33"/>
      <c r="O93" s="3"/>
    </row>
    <row r="94" spans="14:15" ht="16" hidden="1" x14ac:dyDescent="0.55000000000000004">
      <c r="N94" s="33"/>
      <c r="O94" s="3"/>
    </row>
    <row r="95" spans="14:15" ht="16" hidden="1" x14ac:dyDescent="0.55000000000000004">
      <c r="N95" s="33"/>
      <c r="O95" s="3"/>
    </row>
    <row r="96" spans="14:15" ht="13.5" hidden="1" customHeight="1" x14ac:dyDescent="0.55000000000000004">
      <c r="N96" s="33"/>
      <c r="O96" s="3"/>
    </row>
    <row r="97" spans="14:15" ht="13.5" hidden="1" customHeight="1" x14ac:dyDescent="0.55000000000000004">
      <c r="N97" s="33"/>
      <c r="O97" s="3"/>
    </row>
    <row r="98" spans="14:15" ht="13.5" hidden="1" customHeight="1" x14ac:dyDescent="0.55000000000000004">
      <c r="N98" s="33"/>
      <c r="O98" s="3"/>
    </row>
    <row r="99" spans="14:15" ht="0" hidden="1" customHeight="1" x14ac:dyDescent="0.55000000000000004">
      <c r="N99" s="33"/>
    </row>
    <row r="100" spans="14:15" ht="0" hidden="1" customHeight="1" x14ac:dyDescent="0.55000000000000004">
      <c r="N100" s="33"/>
    </row>
  </sheetData>
  <sheetProtection algorithmName="SHA-512" hashValue="trtremyPFkY9DtvW5rlmHetj2bsbul2A1dde3N/3Mykr1Y170e1xON9XtRnG348dQkCG+0gQjYAwoCp0t+JxOQ==" saltValue="95ZhubI12CbwG+jewGcCeQ==" spinCount="100000" sheet="1" objects="1" scenarios="1"/>
  <mergeCells count="120">
    <mergeCell ref="B53:B63"/>
    <mergeCell ref="B51:L51"/>
    <mergeCell ref="B52:D52"/>
    <mergeCell ref="F49:L49"/>
    <mergeCell ref="C63:D63"/>
    <mergeCell ref="E63:L63"/>
    <mergeCell ref="C60:D60"/>
    <mergeCell ref="E60:L60"/>
    <mergeCell ref="C61:D61"/>
    <mergeCell ref="E52:F52"/>
    <mergeCell ref="G52:L52"/>
    <mergeCell ref="C54:D54"/>
    <mergeCell ref="E54:L54"/>
    <mergeCell ref="C55:D55"/>
    <mergeCell ref="E61:L61"/>
    <mergeCell ref="C62:D62"/>
    <mergeCell ref="E62:L62"/>
    <mergeCell ref="C59:D59"/>
    <mergeCell ref="E59:L59"/>
    <mergeCell ref="C53:D53"/>
    <mergeCell ref="B43:B49"/>
    <mergeCell ref="C43:E43"/>
    <mergeCell ref="F43:L43"/>
    <mergeCell ref="E57:L57"/>
    <mergeCell ref="C58:D58"/>
    <mergeCell ref="E58:L58"/>
    <mergeCell ref="E55:L55"/>
    <mergeCell ref="C56:D56"/>
    <mergeCell ref="E56:L56"/>
    <mergeCell ref="C57:D57"/>
    <mergeCell ref="C44:E44"/>
    <mergeCell ref="F44:L44"/>
    <mergeCell ref="C45:E45"/>
    <mergeCell ref="F45:L45"/>
    <mergeCell ref="F46:L46"/>
    <mergeCell ref="C47:E47"/>
    <mergeCell ref="F47:L47"/>
    <mergeCell ref="C48:E48"/>
    <mergeCell ref="F48:L48"/>
    <mergeCell ref="C49:E49"/>
    <mergeCell ref="C46:E46"/>
    <mergeCell ref="E53:F53"/>
    <mergeCell ref="G53:L53"/>
    <mergeCell ref="K27:L27"/>
    <mergeCell ref="H28:J28"/>
    <mergeCell ref="K28:L28"/>
    <mergeCell ref="H30:J30"/>
    <mergeCell ref="K30:L30"/>
    <mergeCell ref="H34:J34"/>
    <mergeCell ref="K34:L34"/>
    <mergeCell ref="H35:J35"/>
    <mergeCell ref="K35:L35"/>
    <mergeCell ref="B37:L37"/>
    <mergeCell ref="H31:J31"/>
    <mergeCell ref="K31:L31"/>
    <mergeCell ref="H32:J32"/>
    <mergeCell ref="K32:L32"/>
    <mergeCell ref="H33:J33"/>
    <mergeCell ref="K33:L33"/>
    <mergeCell ref="B38:B42"/>
    <mergeCell ref="C38:E38"/>
    <mergeCell ref="F38:L38"/>
    <mergeCell ref="C39:E39"/>
    <mergeCell ref="F39:L39"/>
    <mergeCell ref="C40:E40"/>
    <mergeCell ref="F40:L40"/>
    <mergeCell ref="C41:E41"/>
    <mergeCell ref="F41:L41"/>
    <mergeCell ref="C42:E42"/>
    <mergeCell ref="F42:L42"/>
    <mergeCell ref="H21:L21"/>
    <mergeCell ref="H29:J29"/>
    <mergeCell ref="K29:L29"/>
    <mergeCell ref="H22:L22"/>
    <mergeCell ref="G18:L18"/>
    <mergeCell ref="G19:L19"/>
    <mergeCell ref="G20:I20"/>
    <mergeCell ref="J20:L20"/>
    <mergeCell ref="B17:D22"/>
    <mergeCell ref="G17:H17"/>
    <mergeCell ref="J17:L17"/>
    <mergeCell ref="E18:E22"/>
    <mergeCell ref="F21:F22"/>
    <mergeCell ref="B23:E23"/>
    <mergeCell ref="G23:L23"/>
    <mergeCell ref="B24:B35"/>
    <mergeCell ref="C24:E24"/>
    <mergeCell ref="F24:L24"/>
    <mergeCell ref="C25:C35"/>
    <mergeCell ref="H25:J25"/>
    <mergeCell ref="K25:L25"/>
    <mergeCell ref="H26:J26"/>
    <mergeCell ref="K26:L26"/>
    <mergeCell ref="H27:J27"/>
    <mergeCell ref="K11:L11"/>
    <mergeCell ref="F12:L12"/>
    <mergeCell ref="F13:L13"/>
    <mergeCell ref="B10:B16"/>
    <mergeCell ref="F15:L15"/>
    <mergeCell ref="F16:L16"/>
    <mergeCell ref="C10:D13"/>
    <mergeCell ref="F10:G10"/>
    <mergeCell ref="I10:L10"/>
    <mergeCell ref="F11:I11"/>
    <mergeCell ref="F14:L14"/>
    <mergeCell ref="C14:D16"/>
    <mergeCell ref="C6:D6"/>
    <mergeCell ref="E6:L6"/>
    <mergeCell ref="B9:L9"/>
    <mergeCell ref="B7:D7"/>
    <mergeCell ref="E7:G7"/>
    <mergeCell ref="H7:L7"/>
    <mergeCell ref="B1:E2"/>
    <mergeCell ref="F1:L2"/>
    <mergeCell ref="B3:L3"/>
    <mergeCell ref="B4:B5"/>
    <mergeCell ref="C4:D4"/>
    <mergeCell ref="E4:L4"/>
    <mergeCell ref="C5:D5"/>
    <mergeCell ref="E5:L5"/>
  </mergeCells>
  <phoneticPr fontId="1"/>
  <conditionalFormatting sqref="F39:L42">
    <cfRule type="expression" dxfId="27" priority="39">
      <formula>($F$38="OFF")</formula>
    </cfRule>
  </conditionalFormatting>
  <conditionalFormatting sqref="F46:L49">
    <cfRule type="expression" dxfId="26" priority="38">
      <formula>($F$43="OFF")</formula>
    </cfRule>
  </conditionalFormatting>
  <conditionalFormatting sqref="F42:L42">
    <cfRule type="expression" dxfId="25" priority="37">
      <formula>($F$40="WPA-PSK-AES")</formula>
    </cfRule>
  </conditionalFormatting>
  <conditionalFormatting sqref="F41:L41">
    <cfRule type="expression" dxfId="24" priority="36">
      <formula>($F$40="WEP")</formula>
    </cfRule>
  </conditionalFormatting>
  <conditionalFormatting sqref="F49:L49">
    <cfRule type="expression" dxfId="23" priority="35">
      <formula>($F$47="WPA-PSK-AES")</formula>
    </cfRule>
  </conditionalFormatting>
  <conditionalFormatting sqref="F48:L48">
    <cfRule type="expression" dxfId="22" priority="34">
      <formula>($F$47="WEP")</formula>
    </cfRule>
  </conditionalFormatting>
  <conditionalFormatting sqref="E26:L26">
    <cfRule type="expression" dxfId="21" priority="32">
      <formula>$D26=""</formula>
    </cfRule>
  </conditionalFormatting>
  <conditionalFormatting sqref="G19:L19 G22:L22 G20 J20:L20 H21:L21">
    <cfRule type="expression" dxfId="20" priority="31">
      <formula>$G$18="OFF"</formula>
    </cfRule>
  </conditionalFormatting>
  <conditionalFormatting sqref="C26:L35 C25 E25:L25">
    <cfRule type="expression" dxfId="19" priority="30">
      <formula>$F$24="OFF"</formula>
    </cfRule>
  </conditionalFormatting>
  <conditionalFormatting sqref="E27:L27">
    <cfRule type="expression" dxfId="18" priority="29">
      <formula>$D$27=""</formula>
    </cfRule>
  </conditionalFormatting>
  <conditionalFormatting sqref="E28:L28">
    <cfRule type="expression" dxfId="17" priority="28">
      <formula>$D$28=""</formula>
    </cfRule>
  </conditionalFormatting>
  <conditionalFormatting sqref="E29:L29">
    <cfRule type="expression" dxfId="16" priority="27">
      <formula>$D$29=""</formula>
    </cfRule>
  </conditionalFormatting>
  <conditionalFormatting sqref="E30:L30">
    <cfRule type="expression" dxfId="15" priority="26">
      <formula>$D$30=""</formula>
    </cfRule>
  </conditionalFormatting>
  <conditionalFormatting sqref="E31:L31">
    <cfRule type="expression" dxfId="14" priority="25">
      <formula>$D$31=""</formula>
    </cfRule>
  </conditionalFormatting>
  <conditionalFormatting sqref="E32:L32">
    <cfRule type="expression" dxfId="13" priority="24">
      <formula>$D$32=""</formula>
    </cfRule>
  </conditionalFormatting>
  <conditionalFormatting sqref="E33:L33">
    <cfRule type="expression" dxfId="12" priority="23">
      <formula>$D$33=""</formula>
    </cfRule>
  </conditionalFormatting>
  <conditionalFormatting sqref="E34:L34">
    <cfRule type="expression" dxfId="11" priority="22">
      <formula>$D$34=""</formula>
    </cfRule>
  </conditionalFormatting>
  <conditionalFormatting sqref="E35:L35">
    <cfRule type="expression" dxfId="10" priority="21">
      <formula>$D$35=""</formula>
    </cfRule>
  </conditionalFormatting>
  <conditionalFormatting sqref="D26:D35">
    <cfRule type="containsText" dxfId="9" priority="19" operator="containsText" text="削除">
      <formula>NOT(ISERROR(SEARCH("削除",D26)))</formula>
    </cfRule>
    <cfRule type="containsText" dxfId="8" priority="20" operator="containsText" text="追加">
      <formula>NOT(ISERROR(SEARCH("追加",D26)))</formula>
    </cfRule>
  </conditionalFormatting>
  <conditionalFormatting sqref="B38:L43 B46:L49">
    <cfRule type="expression" dxfId="7" priority="33">
      <formula>#REF!="無線AP追加のみ"</formula>
    </cfRule>
  </conditionalFormatting>
  <conditionalFormatting sqref="F19:F22">
    <cfRule type="expression" dxfId="6" priority="18">
      <formula>$G$20="OFF"</formula>
    </cfRule>
  </conditionalFormatting>
  <conditionalFormatting sqref="G21">
    <cfRule type="expression" dxfId="5" priority="15">
      <formula>$G$20="OFF"</formula>
    </cfRule>
  </conditionalFormatting>
  <conditionalFormatting sqref="D25">
    <cfRule type="expression" dxfId="4" priority="14">
      <formula>$F$26="OFF"</formula>
    </cfRule>
  </conditionalFormatting>
  <conditionalFormatting sqref="F44:F45">
    <cfRule type="expression" dxfId="3" priority="10">
      <formula>($F$45="OFF")</formula>
    </cfRule>
  </conditionalFormatting>
  <conditionalFormatting sqref="F45">
    <cfRule type="expression" dxfId="2" priority="9">
      <formula>($F$37="OFF")</formula>
    </cfRule>
  </conditionalFormatting>
  <conditionalFormatting sqref="F44">
    <cfRule type="expression" dxfId="1" priority="7">
      <formula>($F$37="OFF")</formula>
    </cfRule>
  </conditionalFormatting>
  <dataValidations count="29">
    <dataValidation type="custom" imeMode="halfAlpha" allowBlank="1" showInputMessage="1" showErrorMessage="1" error="入力できる文字は半角英数字となっています。" sqref="L35" xr:uid="{00000000-0002-0000-0100-000000000000}">
      <formula1>LEN(L35:M43)=LENB(L35:M43)</formula1>
    </dataValidation>
    <dataValidation type="custom" imeMode="halfAlpha" allowBlank="1" showInputMessage="1" showErrorMessage="1" error="入力できる文字は半角英数字となっています。" sqref="K35" xr:uid="{00000000-0002-0000-0100-000001000000}">
      <formula1>LEN(K35:M43)=LENB(K35:M43)</formula1>
    </dataValidation>
    <dataValidation type="custom" imeMode="halfAlpha" allowBlank="1" showInputMessage="1" showErrorMessage="1" error="入力できる文字は半角英数字となっています。" sqref="J35" xr:uid="{00000000-0002-0000-0100-000002000000}">
      <formula1>LEN(J35:M43)=LENB(J35:M43)</formula1>
    </dataValidation>
    <dataValidation type="custom" imeMode="halfAlpha" allowBlank="1" showInputMessage="1" showErrorMessage="1" error="入力できる文字は半角英数字となっています。" sqref="I35" xr:uid="{00000000-0002-0000-0100-000003000000}">
      <formula1>LEN(I35:M43)=LENB(I35:M43)</formula1>
    </dataValidation>
    <dataValidation type="custom" imeMode="halfAlpha" allowBlank="1" showInputMessage="1" showErrorMessage="1" error="入力できる文字は半角英数字となっています。" sqref="G35:H35" xr:uid="{00000000-0002-0000-0100-000004000000}">
      <formula1>LEN(G35:L43)=LENB(G35:L43)</formula1>
    </dataValidation>
    <dataValidation type="custom" imeMode="halfAlpha" allowBlank="1" showInputMessage="1" showErrorMessage="1" error="入力できる文字は半角英数字となっています。" sqref="L26:L34" xr:uid="{00000000-0002-0000-0100-000005000000}">
      <formula1>LEN(L26:M35)=LENB(L26:M35)</formula1>
    </dataValidation>
    <dataValidation type="custom" imeMode="halfAlpha" allowBlank="1" showInputMessage="1" showErrorMessage="1" error="入力できる文字は半角英数字となっています。" sqref="K26:K34" xr:uid="{00000000-0002-0000-0100-000006000000}">
      <formula1>LEN(K26:M35)=LENB(K26:M35)</formula1>
    </dataValidation>
    <dataValidation type="custom" imeMode="halfAlpha" allowBlank="1" showInputMessage="1" showErrorMessage="1" error="入力できる文字は半角英数字となっています。" sqref="J26:J34" xr:uid="{00000000-0002-0000-0100-000007000000}">
      <formula1>LEN(J26:M35)=LENB(J26:M35)</formula1>
    </dataValidation>
    <dataValidation type="custom" imeMode="halfAlpha" allowBlank="1" showInputMessage="1" showErrorMessage="1" error="入力できる文字は半角英数字となっています。" sqref="I26:I34" xr:uid="{00000000-0002-0000-0100-000008000000}">
      <formula1>LEN(I26:M35)=LENB(I26:M35)</formula1>
    </dataValidation>
    <dataValidation type="custom" imeMode="halfAlpha" allowBlank="1" showInputMessage="1" showErrorMessage="1" error="入力できる文字は半角英数字となっています。" sqref="G26:H34" xr:uid="{00000000-0002-0000-0100-000009000000}">
      <formula1>LEN(G26:L35)=LENB(G26:L35)</formula1>
    </dataValidation>
    <dataValidation type="list" allowBlank="1" showInputMessage="1" showErrorMessage="1" sqref="D26:D35" xr:uid="{00000000-0002-0000-0100-00000A000000}">
      <formula1>"追加,削除"</formula1>
    </dataValidation>
    <dataValidation type="list" allowBlank="1" showInputMessage="1" showErrorMessage="1" sqref="G18 F24 F38 G23 F43" xr:uid="{00000000-0002-0000-0100-00000B000000}">
      <formula1>"ON,OFF"</formula1>
    </dataValidation>
    <dataValidation type="custom" imeMode="halfAlpha" allowBlank="1" showInputMessage="1" showErrorMessage="1" error="入力できる文字数は半角英数字1文字～32文字となっています。" sqref="F39:L39" xr:uid="{00000000-0002-0000-0100-00000C000000}">
      <formula1>(LEN(F39)=LENB(F39))*(LENB(F39)&lt;=32)</formula1>
    </dataValidation>
    <dataValidation type="custom" imeMode="halfAlpha" allowBlank="1" showInputMessage="1" showErrorMessage="1" error="入力できる文字数は半角英数字8文字～63文字です。" sqref="F48:L48" xr:uid="{00000000-0002-0000-0100-00000D000000}">
      <formula1>((LEN(F48)=LENB(F48))*(LENB(F48)&gt;=8))*((LEN(F48)=LENB(F48))*(LENB(F48)&lt;=63))</formula1>
    </dataValidation>
    <dataValidation type="custom" imeMode="halfAlpha" showInputMessage="1" showErrorMessage="1" error="入力できる文字数は半角英数字1文字～32文字となっています。" sqref="F46:L46" xr:uid="{00000000-0002-0000-0100-00000E000000}">
      <formula1>(LEN(F46)=LENB(F46))*(LENB(F46)&lt;=32)</formula1>
    </dataValidation>
    <dataValidation type="custom" imeMode="halfAlpha" allowBlank="1" showInputMessage="1" showErrorMessage="1" error="入力できる文字数半角英数字8文字～63文字です。" sqref="F41:L41" xr:uid="{00000000-0002-0000-0100-00000F000000}">
      <formula1>((LEN(F41)=LENB(F41))*(LENB(F41)&gt;=8))*((LEN(F41)=LENB(F41))*(LENB(F41)&lt;=63))</formula1>
    </dataValidation>
    <dataValidation type="list" allowBlank="1" showInputMessage="1" showErrorMessage="1" sqref="F40:L40 F47:L47" xr:uid="{00000000-0002-0000-0100-000010000000}">
      <formula1>"wpa-psk-aes,wep"</formula1>
    </dataValidation>
    <dataValidation type="custom" imeMode="halfAlpha" allowBlank="1" showInputMessage="1" showErrorMessage="1" error="入力できる文字数は5文字か13文字です。" sqref="F42:L42 F49:L49" xr:uid="{00000000-0002-0000-0100-000011000000}">
      <formula1>OR((LEN(F42)=LENB(F42))*(LENB(F42)=5),(LEN(F42)=LENB(F42))*(LENB(F42)=13))</formula1>
    </dataValidation>
    <dataValidation type="custom" imeMode="halfAlpha" allowBlank="1" showInputMessage="1" showErrorMessage="1" error="入力できる文字は半角英数字となっています。" sqref="F15:L16" xr:uid="{00000000-0002-0000-0100-000012000000}">
      <formula1>(LEN(F15)=LENB(F15))</formula1>
    </dataValidation>
    <dataValidation type="custom" imeMode="halfAlpha" allowBlank="1" showInputMessage="1" showErrorMessage="1" error="入力できる文字は半角英数字となっています。" sqref="G19:L19 G17:H17" xr:uid="{00000000-0002-0000-0100-000013000000}">
      <formula1>LEN(G17)=LENB(G17)</formula1>
    </dataValidation>
    <dataValidation type="list" allowBlank="1" showInputMessage="1" showErrorMessage="1" sqref="F26:F35" xr:uid="{00000000-0002-0000-0100-000014000000}">
      <formula1>"tcp,udp,tcpudp"</formula1>
    </dataValidation>
    <dataValidation type="date" operator="greaterThanOrEqual" allowBlank="1" showInputMessage="1" showErrorMessage="1" sqref="E7" xr:uid="{00000000-0002-0000-0100-000015000000}">
      <formula1>TODAY()+1</formula1>
    </dataValidation>
    <dataValidation type="list" allowBlank="1" showInputMessage="1" showErrorMessage="1" sqref="J17:L17" xr:uid="{00000000-0002-0000-0100-000016000000}">
      <formula1>$N$5:$N$30</formula1>
    </dataValidation>
    <dataValidation type="list" allowBlank="1" showInputMessage="1" showErrorMessage="1" sqref="K11:L11" xr:uid="{DCE2BF52-75D7-4845-B148-624B63C8944C}">
      <formula1>"はい"</formula1>
    </dataValidation>
    <dataValidation type="list" allowBlank="1" showInputMessage="1" showErrorMessage="1" sqref="F14:L14" xr:uid="{00000000-0002-0000-0100-000019000000}">
      <formula1>"自動取得,手動取得"</formula1>
    </dataValidation>
    <dataValidation type="list" allowBlank="1" showInputMessage="1" showErrorMessage="1" sqref="F44" xr:uid="{CBECD665-965E-4A7D-A527-EFD03C0A17B6}">
      <formula1>"11ac 40MHz,11ac 80MHz,11ac 20MHz,11n 20MHz,11n 40MHz,11a"</formula1>
    </dataValidation>
    <dataValidation type="list" allowBlank="1" showInputMessage="1" showErrorMessage="1" sqref="F45" xr:uid="{A1FDBFF1-D6A3-4441-850D-1A9258CDD93D}">
      <formula1>"indoor (W52 + W53),indoor-nodfs(W52),indoor-dfs (W53),outdoor-dfs(W56)"</formula1>
    </dataValidation>
    <dataValidation type="list" allowBlank="1" showInputMessage="1" showErrorMessage="1" sqref="F10:G10" xr:uid="{AEE72E19-E0F4-4EE6-BA5C-F911242E77F9}">
      <formula1>"リコープロバイダー(IPv4),リコープロバイダー(IPoE),他社プロバイダー"</formula1>
    </dataValidation>
    <dataValidation type="list" allowBlank="1" showInputMessage="1" showErrorMessage="1" sqref="I10:L10" xr:uid="{252CEACE-0BF9-4281-87ED-51B1CFAA4DEE}">
      <formula1>"リコープロバイダー(IPv4),他社プロバイダー"</formula1>
    </dataValidation>
  </dataValidations>
  <pageMargins left="0.7" right="0.7" top="0.75" bottom="0.75" header="0.3" footer="0.3"/>
  <pageSetup paperSize="9" scale="68" orientation="portrait" horizontalDpi="1200" verticalDpi="1200" r:id="rId1"/>
  <colBreaks count="1" manualBreakCount="1">
    <brk id="12" max="1048575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8660C098-4475-47F7-975F-A47298C5955E}">
            <xm:f>変更依頼シート!#REF!="無線AP追加のみ"</xm:f>
            <x14:dxf>
              <font>
                <color theme="0" tint="-0.34998626667073579"/>
              </font>
              <fill>
                <patternFill>
                  <bgColor theme="0" tint="-0.34998626667073579"/>
                </patternFill>
              </fill>
            </x14:dxf>
          </x14:cfRule>
          <xm:sqref>C54:C63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44"/>
  <sheetViews>
    <sheetView showGridLines="0" topLeftCell="XFD1" workbookViewId="0">
      <selection activeCell="XFD1" sqref="A1:XFD1"/>
    </sheetView>
  </sheetViews>
  <sheetFormatPr defaultColWidth="0" defaultRowHeight="13" zeroHeight="1" x14ac:dyDescent="0.2"/>
  <cols>
    <col min="1" max="1" width="3.453125" style="64" hidden="1" customWidth="1"/>
    <col min="2" max="2" width="11.6328125" style="64" hidden="1" customWidth="1"/>
    <col min="3" max="3" width="3.453125" style="64" hidden="1" customWidth="1"/>
    <col min="4" max="4" width="11.6328125" style="64" hidden="1" customWidth="1"/>
    <col min="5" max="5" width="6" style="64" hidden="1" customWidth="1"/>
    <col min="6" max="6" width="8.453125" style="64" hidden="1" customWidth="1"/>
    <col min="7" max="7" width="4.453125" style="67" hidden="1" customWidth="1"/>
    <col min="8" max="8" width="6" style="64" hidden="1" customWidth="1"/>
    <col min="9" max="9" width="4.08984375" style="64" hidden="1" customWidth="1"/>
    <col min="10" max="10" width="5.453125" style="64" hidden="1" customWidth="1"/>
    <col min="11" max="11" width="11.6328125" style="69" hidden="1" customWidth="1"/>
    <col min="12" max="13" width="13.90625" style="64" hidden="1" customWidth="1"/>
    <col min="14" max="14" width="11.6328125" style="69" hidden="1" customWidth="1"/>
    <col min="15" max="15" width="12.7265625" style="64" hidden="1" customWidth="1"/>
    <col min="16" max="16" width="3.453125" style="64" hidden="1" customWidth="1"/>
    <col min="17" max="17" width="11.6328125" style="69" hidden="1" customWidth="1"/>
    <col min="18" max="19" width="4.08984375" style="64" hidden="1" customWidth="1"/>
    <col min="20" max="20" width="19.08984375" style="64" hidden="1" customWidth="1"/>
    <col min="21" max="16384" width="4.08984375" style="64" hidden="1"/>
  </cols>
  <sheetData>
    <row r="1" spans="1:20" x14ac:dyDescent="0.2">
      <c r="A1" s="64">
        <v>1</v>
      </c>
      <c r="B1" s="64" t="s">
        <v>98</v>
      </c>
      <c r="C1" s="64">
        <f>IF(B1="","",A1)</f>
        <v>1</v>
      </c>
      <c r="D1" s="64" t="str">
        <f ca="1">IFERROR(IF(COUNTA(B:B)&lt;A1,"",INDEX(B:B,SMALL(C:C,A1))),"")</f>
        <v>(最短)</v>
      </c>
      <c r="E1" s="65">
        <v>0</v>
      </c>
      <c r="F1" s="66">
        <f ca="1">IF(AND(変更依頼シート!$E$9=参照!$D$2,TIMEVALUE(TEXT(E1,"hh:mm"))&lt;TIMEVALUE("0:00")),"",E1)</f>
        <v>0</v>
      </c>
      <c r="G1" s="67">
        <f ca="1">IF(F1="","",ROW())</f>
        <v>1</v>
      </c>
      <c r="H1" s="68">
        <f t="shared" ref="H1:H32" ca="1" si="0">IFERROR(IF(ROW(F1)&gt;COUNTA($F$1:$F$144),"",INDEX($F$1:$F$144,SMALL($G$1:$G$144,ROW(F1)))),"")</f>
        <v>0</v>
      </c>
      <c r="J1" s="64" t="s">
        <v>99</v>
      </c>
      <c r="K1" s="69" t="s">
        <v>100</v>
      </c>
      <c r="L1" s="64" t="s">
        <v>101</v>
      </c>
      <c r="M1" s="64" t="s">
        <v>102</v>
      </c>
      <c r="N1" s="69" t="s">
        <v>103</v>
      </c>
      <c r="O1" s="64" t="s">
        <v>104</v>
      </c>
      <c r="P1" s="64">
        <f ca="1">COUNT(K:K,N:N)</f>
        <v>46</v>
      </c>
      <c r="Q1" s="69">
        <f ca="1">IF(P$1&lt;ROW(),"",SMALL((K:K,N:N),ROW()))</f>
        <v>44197</v>
      </c>
    </row>
    <row r="2" spans="1:20" x14ac:dyDescent="0.2">
      <c r="A2" s="64">
        <v>2</v>
      </c>
      <c r="B2" s="64" t="str">
        <f ca="1">IF(COUNTIF(Q:Q,IF((TODAY()+ROW()-1)&lt;(EOMONTH(TODAY(),1)),TEXT((TODAY()+ROW()-1),"yyyy/mm/dd"),""))=0,IF((TODAY()+ROW()-1)&lt;(EOMONTH(TODAY(),1)),TEXT((TODAY()+ROW()-1),"yyyy/mm/dd"),""),"")</f>
        <v/>
      </c>
      <c r="C2" s="64" t="str">
        <f t="shared" ref="C2:C63" ca="1" si="1">IF(B2="","",A2)</f>
        <v/>
      </c>
      <c r="D2" s="64" t="str">
        <f t="shared" ref="D2:D63" ca="1" si="2">IFERROR(IF(COUNTA(B:B)&lt;A2,"",INDEX(B:B,SMALL(C:C,A2))),"")</f>
        <v>2021/04/12</v>
      </c>
      <c r="E2" s="66">
        <f>E1+TIMEVALUE("0:10")</f>
        <v>6.9444444444444441E-3</v>
      </c>
      <c r="F2" s="66">
        <f ca="1">IF(AND(変更依頼シート!$E$9=参照!$D$2,TIMEVALUE(TEXT(E2,"hh:mm"))&lt;TIMEVALUE("0:00")),"",E2)</f>
        <v>6.9444444444444441E-3</v>
      </c>
      <c r="G2" s="67">
        <f t="shared" ref="G2:G65" ca="1" si="3">IF(F2="","",ROW())</f>
        <v>2</v>
      </c>
      <c r="H2" s="68">
        <f t="shared" ca="1" si="0"/>
        <v>6.9444444444444441E-3</v>
      </c>
      <c r="J2" s="70">
        <f ca="1">VALUE(TEXT(TODAY(),"yyyy"))</f>
        <v>2021</v>
      </c>
      <c r="K2" s="69">
        <f ca="1">IF(J2="","",DATE(J2,1,1))</f>
        <v>44197</v>
      </c>
      <c r="L2" s="64" t="str">
        <f ca="1">TEXT(K2&amp;"","aaa")</f>
        <v>金</v>
      </c>
      <c r="M2" s="64" t="s">
        <v>105</v>
      </c>
      <c r="N2" s="69" t="str">
        <f ca="1">IF(K2="","",IF(L2="日",LOOKUP(1,0/(K2+ROW($1:$6)-1=K2:K8),K2:K8)+1,
 IF(K2+2=K3,K2+1,"")))</f>
        <v/>
      </c>
      <c r="Q2" s="69">
        <f ca="1">IF(P$1&lt;ROW(),"",SMALL((K:K,N:N),ROW()))</f>
        <v>44198</v>
      </c>
      <c r="T2" s="71"/>
    </row>
    <row r="3" spans="1:20" x14ac:dyDescent="0.2">
      <c r="A3" s="64">
        <v>3</v>
      </c>
      <c r="B3" s="64" t="str">
        <f ca="1">IF(B2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/>
      </c>
      <c r="C3" s="64" t="str">
        <f t="shared" ca="1" si="1"/>
        <v/>
      </c>
      <c r="D3" s="64" t="str">
        <f t="shared" ca="1" si="2"/>
        <v>2021/04/13</v>
      </c>
      <c r="E3" s="66">
        <f t="shared" ref="E3:E66" si="4">E2+TIMEVALUE("0:10")</f>
        <v>1.3888888888888888E-2</v>
      </c>
      <c r="F3" s="66">
        <f ca="1">IF(AND(変更依頼シート!$E$9=参照!$D$2,TIMEVALUE(TEXT(E3,"hh:mm"))&lt;TIMEVALUE("0:00")),"",E3)</f>
        <v>1.3888888888888888E-2</v>
      </c>
      <c r="G3" s="67">
        <f t="shared" ca="1" si="3"/>
        <v>3</v>
      </c>
      <c r="H3" s="68">
        <f t="shared" ca="1" si="0"/>
        <v>1.3888888888888888E-2</v>
      </c>
      <c r="J3" s="67"/>
      <c r="K3" s="69">
        <f ca="1">IF(J2="","",DATE(J2,1,2))</f>
        <v>44198</v>
      </c>
      <c r="N3" s="69" t="str">
        <f ca="1">IF(K3="","",IF(L3="日",LOOKUP(1,0/(K3+ROW($1:$6)-1=K3:K9),K3:K9)+1,
 IF(K3+2=K4,K3+1,"")))</f>
        <v/>
      </c>
      <c r="O3" s="64" t="s">
        <v>106</v>
      </c>
      <c r="Q3" s="69">
        <f ca="1">IF(P$1&lt;ROW(),"",SMALL((K:K,N:N),ROW()))</f>
        <v>44199</v>
      </c>
      <c r="T3" s="72"/>
    </row>
    <row r="4" spans="1:20" x14ac:dyDescent="0.2">
      <c r="A4" s="64">
        <v>4</v>
      </c>
      <c r="B4" s="64" t="str">
        <f ca="1">IF(B3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2021/04/12</v>
      </c>
      <c r="C4" s="64">
        <f t="shared" ca="1" si="1"/>
        <v>4</v>
      </c>
      <c r="D4" s="64" t="str">
        <f t="shared" ca="1" si="2"/>
        <v>2021/04/14</v>
      </c>
      <c r="E4" s="66">
        <f t="shared" si="4"/>
        <v>2.0833333333333332E-2</v>
      </c>
      <c r="F4" s="66">
        <f ca="1">IF(AND(変更依頼シート!$E$9=参照!$D$2,TIMEVALUE(TEXT(E4,"hh:mm"))&lt;TIMEVALUE("0:00")),"",E4)</f>
        <v>2.0833333333333332E-2</v>
      </c>
      <c r="G4" s="67">
        <f t="shared" ca="1" si="3"/>
        <v>4</v>
      </c>
      <c r="H4" s="68">
        <f t="shared" ca="1" si="0"/>
        <v>2.0833333333333332E-2</v>
      </c>
      <c r="I4" s="73"/>
      <c r="K4" s="69">
        <f ca="1">IF(J2="","",DATE(J2,1,3))</f>
        <v>44199</v>
      </c>
      <c r="N4" s="69" t="str">
        <f ca="1">IF(K4="","",IF(L4="日",LOOKUP(1,0/(K4+ROW($1:$6)-1=K4:K10),K4:K10)+1,
 IF(K4+2=K6,K4+1,"")))</f>
        <v/>
      </c>
      <c r="O4" s="64" t="s">
        <v>106</v>
      </c>
      <c r="Q4" s="69">
        <f ca="1">IF(P$1&lt;ROW(),"",SMALL((K:K,N:N),ROW()))</f>
        <v>44200</v>
      </c>
    </row>
    <row r="5" spans="1:20" x14ac:dyDescent="0.2">
      <c r="A5" s="64">
        <v>5</v>
      </c>
      <c r="B5" s="64" t="str">
        <f ca="1">IF(B4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2021/04/13</v>
      </c>
      <c r="C5" s="64">
        <f t="shared" ca="1" si="1"/>
        <v>5</v>
      </c>
      <c r="D5" s="64" t="str">
        <f t="shared" ca="1" si="2"/>
        <v>2021/04/15</v>
      </c>
      <c r="E5" s="66">
        <f t="shared" si="4"/>
        <v>2.7777777777777776E-2</v>
      </c>
      <c r="F5" s="66">
        <f ca="1">IF(AND(変更依頼シート!$E$9=参照!$D$2,TIMEVALUE(TEXT(E5,"hh:mm"))&lt;TIMEVALUE("0:00")),"",E5)</f>
        <v>2.7777777777777776E-2</v>
      </c>
      <c r="G5" s="67">
        <f t="shared" ca="1" si="3"/>
        <v>5</v>
      </c>
      <c r="H5" s="68">
        <f t="shared" ca="1" si="0"/>
        <v>2.7777777777777776E-2</v>
      </c>
      <c r="K5" s="69">
        <f ca="1">IF(J2="","",DATE(J2,1,4))</f>
        <v>44200</v>
      </c>
      <c r="M5" s="64" t="s">
        <v>152</v>
      </c>
      <c r="N5" s="69" t="str">
        <f ca="1">IF(K6="","",IF(L6="日",LOOKUP(1,0/(K6+ROW($1:$6)-1=K6:K11),K6:K11)+1,
 IF(K6+2=K7,K6+1,"")))</f>
        <v/>
      </c>
      <c r="O5" s="64" t="str">
        <f>"1月第2月曜"</f>
        <v>1月第2月曜</v>
      </c>
      <c r="Q5" s="69">
        <f ca="1">IF(P$1&lt;ROW(),"",SMALL((K:K,N:N),ROW()))</f>
        <v>44207</v>
      </c>
    </row>
    <row r="6" spans="1:20" x14ac:dyDescent="0.2">
      <c r="A6" s="64">
        <v>6</v>
      </c>
      <c r="B6" s="64" t="str">
        <f ca="1">IF(B5="",IF(COUNTIF(Q:Q,IF((TODAY()+ROW()-1)&lt;(EOMONTH(TODAY(),1)),TEXT((TODAY()+ROW()-1),"yyyy/mm/dd"),""))&gt;0,"",IF((TODAY()+ROW()-1)&lt;(EOMONTH(TODAY(),1)),TEXT((TODAY()+ROW()-1),"yyyy/mm/dd"),"")),IF((TODAY()+ROW()-1)&lt;(EOMONTH(TODAY(),1)),TEXT((TODAY()+ROW()-1),"yyyy/mm/dd"),""))</f>
        <v>2021/04/14</v>
      </c>
      <c r="C6" s="64">
        <f t="shared" ca="1" si="1"/>
        <v>6</v>
      </c>
      <c r="D6" s="64" t="str">
        <f t="shared" ca="1" si="2"/>
        <v>2021/04/16</v>
      </c>
      <c r="E6" s="66">
        <f t="shared" si="4"/>
        <v>3.4722222222222224E-2</v>
      </c>
      <c r="F6" s="66">
        <f ca="1">IF(AND(変更依頼シート!$E$9=参照!$D$2,TIMEVALUE(TEXT(E6,"hh:mm"))&lt;TIMEVALUE("0:00")),"",E6)</f>
        <v>3.4722222222222224E-2</v>
      </c>
      <c r="G6" s="67">
        <f t="shared" ca="1" si="3"/>
        <v>6</v>
      </c>
      <c r="H6" s="68">
        <f t="shared" ca="1" si="0"/>
        <v>3.4722222222222224E-2</v>
      </c>
      <c r="K6" s="69">
        <f ca="1">IF(J2="","",DATE(J2,1,14)-WEEKDAY(DATE(J2,1,14),3))</f>
        <v>44207</v>
      </c>
      <c r="L6" s="64" t="str">
        <f t="shared" ref="L6:L19" ca="1" si="5">TEXT(K6&amp;"","aaa")</f>
        <v>月</v>
      </c>
      <c r="M6" s="64" t="s">
        <v>107</v>
      </c>
      <c r="N6" s="69" t="str">
        <f ca="1">IF(K7="","",IF(L7="日",LOOKUP(1,0/(K7+ROW($1:$6)-1=K7:K12),K7:K12)+1,
 IF(K7+2=K8,K7+1,"")))</f>
        <v/>
      </c>
      <c r="Q6" s="69">
        <f ca="1">IF(P$1&lt;ROW(),"",SMALL((K:K,N:N),ROW()))</f>
        <v>44238</v>
      </c>
    </row>
    <row r="7" spans="1:20" x14ac:dyDescent="0.2">
      <c r="A7" s="64">
        <v>7</v>
      </c>
      <c r="B7" s="64" t="str">
        <f t="shared" ref="B7:B63" ca="1" si="6">IF((TODAY()+ROW()-1)&lt;(EOMONTH(TODAY(),1)),TEXT((TODAY()+ROW()-1),"yyyy/mm/dd"),"")</f>
        <v>2021/04/15</v>
      </c>
      <c r="C7" s="64">
        <f t="shared" ca="1" si="1"/>
        <v>7</v>
      </c>
      <c r="D7" s="64" t="str">
        <f t="shared" ca="1" si="2"/>
        <v>2021/04/17</v>
      </c>
      <c r="E7" s="66">
        <f t="shared" si="4"/>
        <v>4.1666666666666671E-2</v>
      </c>
      <c r="F7" s="66">
        <f ca="1">IF(AND(変更依頼シート!$E$9=参照!$D$2,TIMEVALUE(TEXT(E7,"hh:mm"))&lt;TIMEVALUE("0:00")),"",E7)</f>
        <v>4.1666666666666671E-2</v>
      </c>
      <c r="G7" s="67">
        <f t="shared" ca="1" si="3"/>
        <v>7</v>
      </c>
      <c r="H7" s="68">
        <f t="shared" ca="1" si="0"/>
        <v>4.1666666666666671E-2</v>
      </c>
      <c r="K7" s="69">
        <f ca="1">IF(J2="","",DATE(J2,2,11))</f>
        <v>44238</v>
      </c>
      <c r="L7" s="64" t="str">
        <f t="shared" ca="1" si="5"/>
        <v>木</v>
      </c>
      <c r="M7" s="64" t="s">
        <v>108</v>
      </c>
      <c r="N7" s="69" t="str">
        <f ca="1">IF(K8="","",IF(L8="日",LOOKUP(1,0/(K8+ROW($1:$6)-1=K8:K13),K8:K13)+1,
 IF(K8+2=K9,K8+1,"")))</f>
        <v/>
      </c>
      <c r="O7" s="64" t="s">
        <v>110</v>
      </c>
      <c r="Q7" s="69">
        <f ca="1">IF(P$1&lt;ROW(),"",SMALL((K:K,N:N),ROW()))</f>
        <v>44250</v>
      </c>
    </row>
    <row r="8" spans="1:20" x14ac:dyDescent="0.2">
      <c r="A8" s="64">
        <v>8</v>
      </c>
      <c r="B8" s="64" t="str">
        <f t="shared" ca="1" si="6"/>
        <v>2021/04/16</v>
      </c>
      <c r="C8" s="64">
        <f t="shared" ca="1" si="1"/>
        <v>8</v>
      </c>
      <c r="D8" s="64" t="str">
        <f t="shared" ca="1" si="2"/>
        <v>2021/04/18</v>
      </c>
      <c r="E8" s="66">
        <f t="shared" si="4"/>
        <v>4.8611111111111119E-2</v>
      </c>
      <c r="F8" s="66">
        <f ca="1">IF(AND(変更依頼シート!$E$9=参照!$D$2,TIMEVALUE(TEXT(E8,"hh:mm"))&lt;TIMEVALUE("0:00")),"",E8)</f>
        <v>4.8611111111111119E-2</v>
      </c>
      <c r="G8" s="67">
        <f t="shared" ca="1" si="3"/>
        <v>8</v>
      </c>
      <c r="H8" s="68">
        <f t="shared" ca="1" si="0"/>
        <v>4.8611111111111119E-2</v>
      </c>
      <c r="K8" s="69">
        <f ca="1">IF(J2="","",DATE(J2,3,23)-MATCH(J2,CHOOSE(MOD(J2,4)+1,
 {0,1900,1960,2092},{0,1901,1993},{0,1902,2026},{1903,1927,2059})))</f>
        <v>44275</v>
      </c>
      <c r="L8" s="64" t="str">
        <f t="shared" ca="1" si="5"/>
        <v>土</v>
      </c>
      <c r="M8" s="64" t="s">
        <v>109</v>
      </c>
      <c r="N8" s="69" t="str">
        <f ca="1">IF(K9="","",IF(L9="日",LOOKUP(1,0/(K9+ROW($1:$6)-1=K9:K15),K9:K15)+1,
 IF(K9+2=K10,K9+1,"")))</f>
        <v/>
      </c>
      <c r="Q8" s="69">
        <f ca="1">IF(P$1&lt;ROW(),"",SMALL((K:K,N:N),ROW()))</f>
        <v>44275</v>
      </c>
    </row>
    <row r="9" spans="1:20" x14ac:dyDescent="0.2">
      <c r="A9" s="64">
        <v>9</v>
      </c>
      <c r="B9" s="64" t="str">
        <f t="shared" ca="1" si="6"/>
        <v>2021/04/17</v>
      </c>
      <c r="C9" s="64">
        <f t="shared" ca="1" si="1"/>
        <v>9</v>
      </c>
      <c r="D9" s="64" t="str">
        <f t="shared" ca="1" si="2"/>
        <v>2021/04/19</v>
      </c>
      <c r="E9" s="66">
        <f t="shared" si="4"/>
        <v>5.5555555555555566E-2</v>
      </c>
      <c r="F9" s="66">
        <f ca="1">IF(AND(変更依頼シート!$E$9=参照!$D$2,TIMEVALUE(TEXT(E9,"hh:mm"))&lt;TIMEVALUE("0:00")),"",E9)</f>
        <v>5.5555555555555566E-2</v>
      </c>
      <c r="G9" s="67">
        <f t="shared" ca="1" si="3"/>
        <v>9</v>
      </c>
      <c r="H9" s="68">
        <f t="shared" ca="1" si="0"/>
        <v>5.5555555555555566E-2</v>
      </c>
      <c r="K9" s="69">
        <f ca="1">IF(J2="","",DATE(J2,4,29))</f>
        <v>44315</v>
      </c>
      <c r="L9" s="64" t="str">
        <f t="shared" ca="1" si="5"/>
        <v>木</v>
      </c>
      <c r="M9" s="64" t="s">
        <v>111</v>
      </c>
      <c r="N9" s="69" t="str">
        <f ca="1">IF(K10="","",IF(L10="日",LOOKUP(1,0/(K10+ROW($1:$6)-1=K10:K16),K10:K16)+1,
 IF(K10+2=K11,K10+1,"")))</f>
        <v/>
      </c>
      <c r="Q9" s="69">
        <f ca="1">IF(P$1&lt;ROW(),"",SMALL((K:K,N:N),ROW()))</f>
        <v>44296</v>
      </c>
    </row>
    <row r="10" spans="1:20" x14ac:dyDescent="0.2">
      <c r="A10" s="64">
        <v>10</v>
      </c>
      <c r="B10" s="64" t="str">
        <f t="shared" ca="1" si="6"/>
        <v>2021/04/18</v>
      </c>
      <c r="C10" s="64">
        <f t="shared" ca="1" si="1"/>
        <v>10</v>
      </c>
      <c r="D10" s="64" t="str">
        <f t="shared" ca="1" si="2"/>
        <v>2021/04/20</v>
      </c>
      <c r="E10" s="66">
        <f t="shared" si="4"/>
        <v>6.2500000000000014E-2</v>
      </c>
      <c r="F10" s="66">
        <f ca="1">IF(AND(変更依頼シート!$E$9=参照!$D$2,TIMEVALUE(TEXT(E10,"hh:mm"))&lt;TIMEVALUE("0:00")),"",E10)</f>
        <v>6.2500000000000014E-2</v>
      </c>
      <c r="G10" s="67">
        <f t="shared" ca="1" si="3"/>
        <v>10</v>
      </c>
      <c r="H10" s="68">
        <f t="shared" ca="1" si="0"/>
        <v>6.2500000000000014E-2</v>
      </c>
      <c r="K10" s="69">
        <f ca="1">IF(J2="","",DATE(J2,5,3))</f>
        <v>44319</v>
      </c>
      <c r="L10" s="64" t="str">
        <f t="shared" ca="1" si="5"/>
        <v>月</v>
      </c>
      <c r="M10" s="64" t="s">
        <v>112</v>
      </c>
      <c r="N10" s="69" t="str">
        <f ca="1">IF(K11="","",IF(L11="日",LOOKUP(1,0/(K11+ROW($1:$6)-1=K11:K17),K11:K17)+1,
 IF(K11+2=K12,K11+1,"")))</f>
        <v/>
      </c>
      <c r="Q10" s="69">
        <f ca="1">IF(P$1&lt;ROW(),"",SMALL((K:K,N:N),ROW()))</f>
        <v>44297</v>
      </c>
    </row>
    <row r="11" spans="1:20" x14ac:dyDescent="0.2">
      <c r="A11" s="64">
        <v>11</v>
      </c>
      <c r="B11" s="64" t="str">
        <f t="shared" ca="1" si="6"/>
        <v>2021/04/19</v>
      </c>
      <c r="C11" s="64">
        <f t="shared" ca="1" si="1"/>
        <v>11</v>
      </c>
      <c r="D11" s="64" t="str">
        <f t="shared" ca="1" si="2"/>
        <v>2021/04/21</v>
      </c>
      <c r="E11" s="66">
        <f t="shared" si="4"/>
        <v>6.9444444444444461E-2</v>
      </c>
      <c r="F11" s="66">
        <f ca="1">IF(AND(変更依頼シート!$E$9=参照!$D$2,TIMEVALUE(TEXT(E11,"hh:mm"))&lt;TIMEVALUE("0:00")),"",E11)</f>
        <v>6.9444444444444461E-2</v>
      </c>
      <c r="G11" s="67">
        <f t="shared" ca="1" si="3"/>
        <v>11</v>
      </c>
      <c r="H11" s="68">
        <f t="shared" ca="1" si="0"/>
        <v>6.9444444444444461E-2</v>
      </c>
      <c r="K11" s="69">
        <f ca="1">IF(J2="","",DATE(J2,5,4))</f>
        <v>44320</v>
      </c>
      <c r="L11" s="64" t="str">
        <f t="shared" ca="1" si="5"/>
        <v>火</v>
      </c>
      <c r="M11" s="64" t="s">
        <v>113</v>
      </c>
      <c r="N11" s="69" t="str">
        <f ca="1">IF(K12="","",IF(L12="日",LOOKUP(1,0/(K12+ROW($1:$6)-1=K12:K18),K12:K18)+1,
 IF(K12+2=K13,K12+1,"")))</f>
        <v/>
      </c>
      <c r="Q11" s="69">
        <f ca="1">IF(P$1&lt;ROW(),"",SMALL((K:K,N:N),ROW()))</f>
        <v>44315</v>
      </c>
    </row>
    <row r="12" spans="1:20" x14ac:dyDescent="0.2">
      <c r="A12" s="64">
        <v>12</v>
      </c>
      <c r="B12" s="64" t="str">
        <f t="shared" ca="1" si="6"/>
        <v>2021/04/20</v>
      </c>
      <c r="C12" s="64">
        <f t="shared" ca="1" si="1"/>
        <v>12</v>
      </c>
      <c r="D12" s="64" t="str">
        <f t="shared" ca="1" si="2"/>
        <v>2021/04/22</v>
      </c>
      <c r="E12" s="66">
        <f t="shared" si="4"/>
        <v>7.6388888888888909E-2</v>
      </c>
      <c r="F12" s="66">
        <f ca="1">IF(AND(変更依頼シート!$E$9=参照!$D$2,TIMEVALUE(TEXT(E12,"hh:mm"))&lt;TIMEVALUE("0:00")),"",E12)</f>
        <v>7.6388888888888909E-2</v>
      </c>
      <c r="G12" s="67">
        <f t="shared" ca="1" si="3"/>
        <v>12</v>
      </c>
      <c r="H12" s="68">
        <f t="shared" ca="1" si="0"/>
        <v>7.6388888888888909E-2</v>
      </c>
      <c r="K12" s="69">
        <f ca="1">IF(J2="","",DATE(J2,5,5))</f>
        <v>44321</v>
      </c>
      <c r="L12" s="64" t="str">
        <f t="shared" ca="1" si="5"/>
        <v>水</v>
      </c>
      <c r="M12" s="64" t="s">
        <v>114</v>
      </c>
      <c r="N12" s="69" t="str">
        <f ca="1">IF(K13="","",IF(L13="日",LOOKUP(1,0/(K13+ROW($1:$6)-1=K13:K19),K13:K19)+1,
 IF(K13+2=K15,K13+1,"")))</f>
        <v/>
      </c>
      <c r="O12" s="64" t="str">
        <f>"7月第3月曜"</f>
        <v>7月第3月曜</v>
      </c>
      <c r="Q12" s="69">
        <f ca="1">IF(P$1&lt;ROW(),"",SMALL((K:K,N:N),ROW()))</f>
        <v>44319</v>
      </c>
    </row>
    <row r="13" spans="1:20" x14ac:dyDescent="0.2">
      <c r="A13" s="64">
        <v>13</v>
      </c>
      <c r="B13" s="64" t="str">
        <f t="shared" ca="1" si="6"/>
        <v>2021/04/21</v>
      </c>
      <c r="C13" s="64">
        <f t="shared" ca="1" si="1"/>
        <v>13</v>
      </c>
      <c r="D13" s="64" t="str">
        <f t="shared" ca="1" si="2"/>
        <v>2021/04/23</v>
      </c>
      <c r="E13" s="66">
        <f t="shared" si="4"/>
        <v>8.3333333333333356E-2</v>
      </c>
      <c r="F13" s="66">
        <f ca="1">IF(AND(変更依頼シート!$E$9=参照!$D$2,TIMEVALUE(TEXT(E13,"hh:mm"))&lt;TIMEVALUE("0:00")),"",E13)</f>
        <v>8.3333333333333356E-2</v>
      </c>
      <c r="G13" s="67">
        <f t="shared" ca="1" si="3"/>
        <v>13</v>
      </c>
      <c r="H13" s="68">
        <f t="shared" ca="1" si="0"/>
        <v>8.3333333333333356E-2</v>
      </c>
      <c r="K13" s="69">
        <f ca="1">IF(J2="","",DATE(J2,7,21)-WEEKDAY(DATE(J2,7,21),3))</f>
        <v>44396</v>
      </c>
      <c r="L13" s="64" t="str">
        <f t="shared" ca="1" si="5"/>
        <v>月</v>
      </c>
      <c r="M13" s="64" t="s">
        <v>115</v>
      </c>
      <c r="Q13" s="69">
        <f ca="1">IF(P$1&lt;ROW(),"",SMALL((K:K,N:N),ROW()))</f>
        <v>44320</v>
      </c>
    </row>
    <row r="14" spans="1:20" x14ac:dyDescent="0.2">
      <c r="A14" s="64">
        <v>14</v>
      </c>
      <c r="B14" s="64" t="str">
        <f t="shared" ca="1" si="6"/>
        <v>2021/04/22</v>
      </c>
      <c r="C14" s="64">
        <f t="shared" ca="1" si="1"/>
        <v>14</v>
      </c>
      <c r="D14" s="64" t="str">
        <f t="shared" ca="1" si="2"/>
        <v>2021/04/24</v>
      </c>
      <c r="E14" s="66">
        <f t="shared" si="4"/>
        <v>9.0277777777777804E-2</v>
      </c>
      <c r="F14" s="66">
        <f ca="1">IF(AND(変更依頼シート!$E$9=参照!$D$2,TIMEVALUE(TEXT(E14,"hh:mm"))&lt;TIMEVALUE("0:00")),"",E14)</f>
        <v>9.0277777777777804E-2</v>
      </c>
      <c r="G14" s="67">
        <f t="shared" ca="1" si="3"/>
        <v>14</v>
      </c>
      <c r="H14" s="68">
        <f t="shared" ca="1" si="0"/>
        <v>9.0277777777777804E-2</v>
      </c>
      <c r="K14" s="69">
        <f ca="1">IF(J2="","",DATE(J2,8,11))</f>
        <v>44419</v>
      </c>
      <c r="L14" s="64" t="str">
        <f t="shared" ca="1" si="5"/>
        <v>水</v>
      </c>
      <c r="M14" s="64" t="s">
        <v>116</v>
      </c>
      <c r="N14" s="69" t="str">
        <f t="shared" ref="N14:N19" ca="1" si="7">IF(K15="","",IF(L15="日",LOOKUP(1,0/(K15+ROW($1:$6)-1=K15:K20),K15:K20)+1,
 IF(K15+2=K16,K15+1,"")))</f>
        <v/>
      </c>
      <c r="O14" s="64" t="str">
        <f>"9月第3月曜"</f>
        <v>9月第3月曜</v>
      </c>
      <c r="Q14" s="69">
        <f ca="1">IF(P$1&lt;ROW(),"",SMALL((K:K,N:N),ROW()))</f>
        <v>44321</v>
      </c>
    </row>
    <row r="15" spans="1:20" x14ac:dyDescent="0.2">
      <c r="A15" s="64">
        <v>15</v>
      </c>
      <c r="B15" s="64" t="str">
        <f t="shared" ca="1" si="6"/>
        <v>2021/04/23</v>
      </c>
      <c r="C15" s="64">
        <f t="shared" ca="1" si="1"/>
        <v>15</v>
      </c>
      <c r="D15" s="64" t="str">
        <f t="shared" ca="1" si="2"/>
        <v>2021/04/25</v>
      </c>
      <c r="E15" s="66">
        <f t="shared" si="4"/>
        <v>9.7222222222222252E-2</v>
      </c>
      <c r="F15" s="66">
        <f ca="1">IF(AND(変更依頼シート!$E$9=参照!$D$2,TIMEVALUE(TEXT(E15,"hh:mm"))&lt;TIMEVALUE("0:00")),"",E15)</f>
        <v>9.7222222222222252E-2</v>
      </c>
      <c r="G15" s="67">
        <f t="shared" ca="1" si="3"/>
        <v>15</v>
      </c>
      <c r="H15" s="68">
        <f t="shared" ca="1" si="0"/>
        <v>9.7222222222222252E-2</v>
      </c>
      <c r="K15" s="69">
        <f ca="1">IF(J2="","",DATE(J2,9,21)-WEEKDAY(DATE(J2,9,21),3))</f>
        <v>44459</v>
      </c>
      <c r="L15" s="64" t="str">
        <f t="shared" ca="1" si="5"/>
        <v>月</v>
      </c>
      <c r="M15" s="64" t="s">
        <v>117</v>
      </c>
      <c r="N15" s="69" t="str">
        <f t="shared" ca="1" si="7"/>
        <v/>
      </c>
      <c r="O15" s="64" t="s">
        <v>119</v>
      </c>
      <c r="Q15" s="69">
        <f ca="1">IF(P$1&lt;ROW(),"",SMALL((K:K,N:N),ROW()))</f>
        <v>44396</v>
      </c>
    </row>
    <row r="16" spans="1:20" x14ac:dyDescent="0.2">
      <c r="A16" s="64">
        <v>16</v>
      </c>
      <c r="B16" s="64" t="str">
        <f t="shared" ca="1" si="6"/>
        <v>2021/04/24</v>
      </c>
      <c r="C16" s="64">
        <f t="shared" ca="1" si="1"/>
        <v>16</v>
      </c>
      <c r="D16" s="64" t="str">
        <f t="shared" ca="1" si="2"/>
        <v>2021/04/26</v>
      </c>
      <c r="E16" s="66">
        <f t="shared" si="4"/>
        <v>0.1041666666666667</v>
      </c>
      <c r="F16" s="66">
        <f ca="1">IF(AND(変更依頼シート!$E$9=参照!$D$2,TIMEVALUE(TEXT(E16,"hh:mm"))&lt;TIMEVALUE("0:00")),"",E16)</f>
        <v>0.1041666666666667</v>
      </c>
      <c r="G16" s="67">
        <f t="shared" ca="1" si="3"/>
        <v>16</v>
      </c>
      <c r="H16" s="68">
        <f t="shared" ca="1" si="0"/>
        <v>0.1041666666666667</v>
      </c>
      <c r="K16" s="69">
        <f ca="1">IF(J2="","",DATE(J2,9,25)-MATCH(J2,CHOOSE(MOD(J2,4)+1,
{0,1900,2012},{1901,1921,2045},{1902,1950,2078},{1903,1983})))</f>
        <v>44462</v>
      </c>
      <c r="L16" s="64" t="str">
        <f t="shared" ca="1" si="5"/>
        <v>木</v>
      </c>
      <c r="M16" s="64" t="s">
        <v>118</v>
      </c>
      <c r="N16" s="69" t="str">
        <f t="shared" ca="1" si="7"/>
        <v/>
      </c>
      <c r="O16" s="64" t="str">
        <f>"10月第2月曜"</f>
        <v>10月第2月曜</v>
      </c>
      <c r="Q16" s="69">
        <f ca="1">IF(P$1&lt;ROW(),"",SMALL((K:K,N:N),ROW()))</f>
        <v>44419</v>
      </c>
    </row>
    <row r="17" spans="1:17" x14ac:dyDescent="0.2">
      <c r="A17" s="64">
        <v>17</v>
      </c>
      <c r="B17" s="64" t="str">
        <f t="shared" ca="1" si="6"/>
        <v>2021/04/25</v>
      </c>
      <c r="C17" s="64">
        <f t="shared" ca="1" si="1"/>
        <v>17</v>
      </c>
      <c r="D17" s="64" t="str">
        <f t="shared" ca="1" si="2"/>
        <v>2021/04/27</v>
      </c>
      <c r="E17" s="66">
        <f t="shared" si="4"/>
        <v>0.11111111111111115</v>
      </c>
      <c r="F17" s="66">
        <f ca="1">IF(AND(変更依頼シート!$E$9=参照!$D$2,TIMEVALUE(TEXT(E17,"hh:mm"))&lt;TIMEVALUE("0:00")),"",E17)</f>
        <v>0.11111111111111115</v>
      </c>
      <c r="G17" s="67">
        <f t="shared" ca="1" si="3"/>
        <v>17</v>
      </c>
      <c r="H17" s="68">
        <f t="shared" ca="1" si="0"/>
        <v>0.11111111111111115</v>
      </c>
      <c r="K17" s="69">
        <f ca="1">IF(J2="","",DATE(J2,10,14)-WEEKDAY(DATE(J2,10,14),3))</f>
        <v>44480</v>
      </c>
      <c r="L17" s="64" t="str">
        <f t="shared" ca="1" si="5"/>
        <v>月</v>
      </c>
      <c r="M17" s="64" t="s">
        <v>120</v>
      </c>
      <c r="N17" s="69" t="str">
        <f t="shared" ca="1" si="7"/>
        <v/>
      </c>
      <c r="Q17" s="69">
        <f ca="1">IF(P$1&lt;ROW(),"",SMALL((K:K,N:N),ROW()))</f>
        <v>44459</v>
      </c>
    </row>
    <row r="18" spans="1:17" x14ac:dyDescent="0.2">
      <c r="A18" s="64">
        <v>18</v>
      </c>
      <c r="B18" s="64" t="str">
        <f t="shared" ca="1" si="6"/>
        <v>2021/04/26</v>
      </c>
      <c r="C18" s="64">
        <f t="shared" ca="1" si="1"/>
        <v>18</v>
      </c>
      <c r="D18" s="64" t="str">
        <f t="shared" ca="1" si="2"/>
        <v>2021/04/28</v>
      </c>
      <c r="E18" s="66">
        <f t="shared" si="4"/>
        <v>0.11805555555555559</v>
      </c>
      <c r="F18" s="66">
        <f ca="1">IF(AND(変更依頼シート!$E$9=参照!$D$2,TIMEVALUE(TEXT(E18,"hh:mm"))&lt;TIMEVALUE("0:00")),"",E18)</f>
        <v>0.11805555555555559</v>
      </c>
      <c r="G18" s="67">
        <f t="shared" ca="1" si="3"/>
        <v>18</v>
      </c>
      <c r="H18" s="68">
        <f t="shared" ca="1" si="0"/>
        <v>0.11805555555555559</v>
      </c>
      <c r="K18" s="69">
        <f ca="1">IF(J2="","",DATE(J2,11,3))</f>
        <v>44503</v>
      </c>
      <c r="L18" s="64" t="str">
        <f t="shared" ca="1" si="5"/>
        <v>水</v>
      </c>
      <c r="M18" s="64" t="s">
        <v>121</v>
      </c>
      <c r="N18" s="69" t="str">
        <f t="shared" ca="1" si="7"/>
        <v/>
      </c>
      <c r="Q18" s="69">
        <f ca="1">IF(P$1&lt;ROW(),"",SMALL((K:K,N:N),ROW()))</f>
        <v>44462</v>
      </c>
    </row>
    <row r="19" spans="1:17" x14ac:dyDescent="0.2">
      <c r="A19" s="64">
        <v>19</v>
      </c>
      <c r="B19" s="64" t="str">
        <f t="shared" ca="1" si="6"/>
        <v>2021/04/27</v>
      </c>
      <c r="C19" s="64">
        <f t="shared" ca="1" si="1"/>
        <v>19</v>
      </c>
      <c r="D19" s="64" t="str">
        <f t="shared" ca="1" si="2"/>
        <v>2021/04/29</v>
      </c>
      <c r="E19" s="66">
        <f t="shared" si="4"/>
        <v>0.12500000000000003</v>
      </c>
      <c r="F19" s="66">
        <f ca="1">IF(AND(変更依頼シート!$E$9=参照!$D$2,TIMEVALUE(TEXT(E19,"hh:mm"))&lt;TIMEVALUE("0:00")),"",E19)</f>
        <v>0.12500000000000003</v>
      </c>
      <c r="G19" s="67">
        <f t="shared" ca="1" si="3"/>
        <v>19</v>
      </c>
      <c r="H19" s="68">
        <f t="shared" ca="1" si="0"/>
        <v>0.12500000000000003</v>
      </c>
      <c r="K19" s="69">
        <f ca="1">IF(J2="","",DATE(J2,11,23))</f>
        <v>44523</v>
      </c>
      <c r="L19" s="64" t="str">
        <f t="shared" ca="1" si="5"/>
        <v>火</v>
      </c>
      <c r="M19" s="64" t="s">
        <v>122</v>
      </c>
      <c r="N19" s="69" t="str">
        <f t="shared" ca="1" si="7"/>
        <v/>
      </c>
      <c r="Q19" s="69">
        <f ca="1">IF(P$1&lt;ROW(),"",SMALL((K:K,N:N),ROW()))</f>
        <v>44480</v>
      </c>
    </row>
    <row r="20" spans="1:17" x14ac:dyDescent="0.2">
      <c r="A20" s="64">
        <v>20</v>
      </c>
      <c r="B20" s="64" t="str">
        <f t="shared" ca="1" si="6"/>
        <v>2021/04/28</v>
      </c>
      <c r="C20" s="64">
        <f t="shared" ca="1" si="1"/>
        <v>20</v>
      </c>
      <c r="D20" s="64" t="str">
        <f t="shared" ca="1" si="2"/>
        <v>2021/04/30</v>
      </c>
      <c r="E20" s="66">
        <f t="shared" si="4"/>
        <v>0.13194444444444448</v>
      </c>
      <c r="F20" s="66">
        <f ca="1">IF(AND(変更依頼シート!$E$9=参照!$D$2,TIMEVALUE(TEXT(E20,"hh:mm"))&lt;TIMEVALUE("0:00")),"",E20)</f>
        <v>0.13194444444444448</v>
      </c>
      <c r="G20" s="67">
        <f t="shared" ca="1" si="3"/>
        <v>20</v>
      </c>
      <c r="H20" s="68">
        <f t="shared" ca="1" si="0"/>
        <v>0.13194444444444448</v>
      </c>
      <c r="K20" s="69">
        <f ca="1">IF(J2="","",DATE(J2,2,23))</f>
        <v>44250</v>
      </c>
      <c r="M20" s="64" t="s">
        <v>123</v>
      </c>
      <c r="N20" s="69" t="str">
        <f ca="1">IF(K21="","",IF(L21="日",LOOKUP(1,0/(K21+ROW($1:$6)-1=K21:K23),K21:K23)+1,
 IF(K21+2=K22,K21+1,"")))</f>
        <v/>
      </c>
      <c r="O20" s="64" t="s">
        <v>124</v>
      </c>
      <c r="Q20" s="69">
        <f ca="1">IF(P$1&lt;ROW(),"",SMALL((K:K,N:N),ROW()))</f>
        <v>44503</v>
      </c>
    </row>
    <row r="21" spans="1:17" x14ac:dyDescent="0.2">
      <c r="A21" s="64">
        <v>21</v>
      </c>
      <c r="B21" s="64" t="str">
        <f t="shared" ca="1" si="6"/>
        <v>2021/04/29</v>
      </c>
      <c r="C21" s="64">
        <f t="shared" ca="1" si="1"/>
        <v>21</v>
      </c>
      <c r="D21" s="64" t="str">
        <f t="shared" ca="1" si="2"/>
        <v>2021/05/01</v>
      </c>
      <c r="E21" s="66">
        <f t="shared" si="4"/>
        <v>0.13888888888888892</v>
      </c>
      <c r="F21" s="66">
        <f ca="1">IF(AND(変更依頼シート!$E$9=参照!$D$2,TIMEVALUE(TEXT(E21,"hh:mm"))&lt;TIMEVALUE("0:00")),"",E21)</f>
        <v>0.13888888888888892</v>
      </c>
      <c r="G21" s="67">
        <f t="shared" ca="1" si="3"/>
        <v>21</v>
      </c>
      <c r="H21" s="68">
        <f t="shared" ca="1" si="0"/>
        <v>0.13888888888888892</v>
      </c>
      <c r="K21" s="69">
        <f ca="1">IF(J2="","",DATE(J2,12,29))</f>
        <v>44559</v>
      </c>
      <c r="N21" s="69" t="str">
        <f ca="1">IF(K22="","",IF(L22="日",LOOKUP(1,0/(K22+ROW($1:$6)-1=K22:K23),K22:K23)+1,
 IF(K22+2=K23,K22+1,"")))</f>
        <v/>
      </c>
      <c r="O21" s="64" t="s">
        <v>124</v>
      </c>
      <c r="Q21" s="69">
        <f ca="1">IF(P$1&lt;ROW(),"",SMALL((K:K,N:N),ROW()))</f>
        <v>44523</v>
      </c>
    </row>
    <row r="22" spans="1:17" x14ac:dyDescent="0.2">
      <c r="A22" s="64">
        <v>22</v>
      </c>
      <c r="B22" s="64" t="str">
        <f t="shared" ca="1" si="6"/>
        <v>2021/04/30</v>
      </c>
      <c r="C22" s="64">
        <f t="shared" ca="1" si="1"/>
        <v>22</v>
      </c>
      <c r="D22" s="64" t="str">
        <f t="shared" ca="1" si="2"/>
        <v>2021/05/02</v>
      </c>
      <c r="E22" s="66">
        <f t="shared" si="4"/>
        <v>0.14583333333333337</v>
      </c>
      <c r="F22" s="66">
        <f ca="1">IF(AND(変更依頼シート!$E$9=参照!$D$2,TIMEVALUE(TEXT(E22,"hh:mm"))&lt;TIMEVALUE("0:00")),"",E22)</f>
        <v>0.14583333333333337</v>
      </c>
      <c r="G22" s="67">
        <f t="shared" ca="1" si="3"/>
        <v>22</v>
      </c>
      <c r="H22" s="68">
        <f t="shared" ca="1" si="0"/>
        <v>0.14583333333333337</v>
      </c>
      <c r="K22" s="69">
        <f ca="1">IF(J2="","",DATE(J2,12,30))</f>
        <v>44560</v>
      </c>
      <c r="N22" s="69" t="str">
        <f ca="1">IF(K23="","",IF(L23="日",LOOKUP(1,0/(K23+ROW($1:$6)-1=K23:K25),K23:K25)+1,
 IF(K23+2=K24,K23+1,"")))</f>
        <v/>
      </c>
      <c r="O22" s="64" t="s">
        <v>125</v>
      </c>
      <c r="Q22" s="69">
        <f ca="1">IF(P$1&lt;ROW(),"",SMALL((K:K,N:N),ROW()))</f>
        <v>44559</v>
      </c>
    </row>
    <row r="23" spans="1:17" x14ac:dyDescent="0.2">
      <c r="A23" s="64">
        <v>23</v>
      </c>
      <c r="B23" s="64" t="str">
        <f t="shared" ca="1" si="6"/>
        <v>2021/05/01</v>
      </c>
      <c r="C23" s="64">
        <f t="shared" ca="1" si="1"/>
        <v>23</v>
      </c>
      <c r="D23" s="64" t="str">
        <f t="shared" ca="1" si="2"/>
        <v>2021/05/03</v>
      </c>
      <c r="E23" s="66">
        <f t="shared" si="4"/>
        <v>0.15277777777777782</v>
      </c>
      <c r="F23" s="66">
        <f ca="1">IF(AND(変更依頼シート!$E$9=参照!$D$2,TIMEVALUE(TEXT(E23,"hh:mm"))&lt;TIMEVALUE("0:00")),"",E23)</f>
        <v>0.15277777777777782</v>
      </c>
      <c r="G23" s="67">
        <f t="shared" ca="1" si="3"/>
        <v>23</v>
      </c>
      <c r="H23" s="68">
        <f t="shared" ca="1" si="0"/>
        <v>0.15277777777777782</v>
      </c>
      <c r="K23" s="69">
        <f ca="1">IF(J2="","",DATE(J2,12,31))</f>
        <v>44561</v>
      </c>
      <c r="L23" s="64" t="str">
        <f ca="1">TEXT(K23&amp;"","aaa")</f>
        <v>金</v>
      </c>
      <c r="Q23" s="69">
        <f ca="1">IF(P$1&lt;ROW(),"",SMALL((K:K,N:N),ROW()))</f>
        <v>44560</v>
      </c>
    </row>
    <row r="24" spans="1:17" x14ac:dyDescent="0.2">
      <c r="A24" s="64">
        <v>24</v>
      </c>
      <c r="B24" s="64" t="str">
        <f t="shared" ca="1" si="6"/>
        <v>2021/05/02</v>
      </c>
      <c r="C24" s="64">
        <f t="shared" ca="1" si="1"/>
        <v>24</v>
      </c>
      <c r="D24" s="64" t="str">
        <f t="shared" ca="1" si="2"/>
        <v>2021/05/04</v>
      </c>
      <c r="E24" s="66">
        <f t="shared" si="4"/>
        <v>0.15972222222222227</v>
      </c>
      <c r="F24" s="66">
        <f ca="1">IF(AND(変更依頼シート!$E$9=参照!$D$2,TIMEVALUE(TEXT(E24,"hh:mm"))&lt;TIMEVALUE("0:00")),"",E24)</f>
        <v>0.15972222222222227</v>
      </c>
      <c r="G24" s="67">
        <f t="shared" ca="1" si="3"/>
        <v>24</v>
      </c>
      <c r="H24" s="68">
        <f t="shared" ca="1" si="0"/>
        <v>0.15972222222222227</v>
      </c>
      <c r="K24" s="69">
        <f ca="1">TODAY()-WEEKDAY(TODAY(),2)+6</f>
        <v>44296</v>
      </c>
      <c r="L24" s="64" t="s">
        <v>126</v>
      </c>
      <c r="Q24" s="69">
        <f ca="1">IF(P$1&lt;ROW(),"",SMALL((K:K,N:N),ROW()))</f>
        <v>44561</v>
      </c>
    </row>
    <row r="25" spans="1:17" x14ac:dyDescent="0.2">
      <c r="A25" s="64">
        <v>25</v>
      </c>
      <c r="B25" s="64" t="str">
        <f t="shared" ca="1" si="6"/>
        <v>2021/05/03</v>
      </c>
      <c r="C25" s="64">
        <f t="shared" ca="1" si="1"/>
        <v>25</v>
      </c>
      <c r="D25" s="64" t="str">
        <f t="shared" ca="1" si="2"/>
        <v>2021/05/05</v>
      </c>
      <c r="E25" s="66">
        <f t="shared" si="4"/>
        <v>0.16666666666666671</v>
      </c>
      <c r="F25" s="66">
        <f ca="1">IF(AND(変更依頼シート!$E$9=参照!$D$2,TIMEVALUE(TEXT(E25,"hh:mm"))&lt;TIMEVALUE("0:00")),"",E25)</f>
        <v>0.16666666666666671</v>
      </c>
      <c r="G25" s="67">
        <f t="shared" ca="1" si="3"/>
        <v>25</v>
      </c>
      <c r="H25" s="68">
        <f t="shared" ca="1" si="0"/>
        <v>0.16666666666666671</v>
      </c>
      <c r="K25" s="69">
        <f ca="1">TODAY()-WEEKDAY(TODAY(),2)+7</f>
        <v>44297</v>
      </c>
      <c r="L25" s="64" t="s">
        <v>127</v>
      </c>
      <c r="Q25" s="69">
        <f ca="1">IF(P$1&lt;ROW(),"",SMALL((K:K,N:N),ROW()))</f>
        <v>44562</v>
      </c>
    </row>
    <row r="26" spans="1:17" x14ac:dyDescent="0.2">
      <c r="A26" s="64">
        <v>26</v>
      </c>
      <c r="B26" s="64" t="str">
        <f t="shared" ca="1" si="6"/>
        <v>2021/05/04</v>
      </c>
      <c r="C26" s="64">
        <f t="shared" ca="1" si="1"/>
        <v>26</v>
      </c>
      <c r="D26" s="64" t="str">
        <f t="shared" ca="1" si="2"/>
        <v>2021/05/06</v>
      </c>
      <c r="E26" s="66">
        <f t="shared" si="4"/>
        <v>0.17361111111111116</v>
      </c>
      <c r="F26" s="66">
        <f ca="1">IF(AND(変更依頼シート!$E$9=参照!$D$2,TIMEVALUE(TEXT(E26,"hh:mm"))&lt;TIMEVALUE("0:00")),"",E26)</f>
        <v>0.17361111111111116</v>
      </c>
      <c r="G26" s="67">
        <f t="shared" ca="1" si="3"/>
        <v>26</v>
      </c>
      <c r="H26" s="68">
        <f t="shared" ca="1" si="0"/>
        <v>0.17361111111111116</v>
      </c>
      <c r="J26" s="64">
        <f ca="1">J2+1</f>
        <v>2022</v>
      </c>
      <c r="K26" s="69">
        <f ca="1">IF(J26="","",DATE(J26,1,1))</f>
        <v>44562</v>
      </c>
      <c r="L26" s="64" t="str">
        <f ca="1">TEXT(K26&amp;"","aaa")</f>
        <v>土</v>
      </c>
      <c r="M26" s="64" t="s">
        <v>105</v>
      </c>
      <c r="N26" s="69" t="str">
        <f ca="1">IF(K26="","",IF(L26="日",LOOKUP(1,0/(K26+ROW($1:$6)-1=K26:K32),K26:K32)+1,
 IF(K26+2=K27,K26+1,"")))</f>
        <v/>
      </c>
      <c r="Q26" s="69">
        <f ca="1">IF(P$1&lt;ROW(),"",SMALL((K:K,N:N),ROW()))</f>
        <v>44563</v>
      </c>
    </row>
    <row r="27" spans="1:17" x14ac:dyDescent="0.2">
      <c r="A27" s="64">
        <v>27</v>
      </c>
      <c r="B27" s="64" t="str">
        <f t="shared" ca="1" si="6"/>
        <v>2021/05/05</v>
      </c>
      <c r="C27" s="64">
        <f t="shared" ca="1" si="1"/>
        <v>27</v>
      </c>
      <c r="D27" s="64" t="str">
        <f t="shared" ca="1" si="2"/>
        <v>2021/05/07</v>
      </c>
      <c r="E27" s="66">
        <f t="shared" si="4"/>
        <v>0.18055555555555561</v>
      </c>
      <c r="F27" s="66">
        <f ca="1">IF(AND(変更依頼シート!$E$9=参照!$D$2,TIMEVALUE(TEXT(E27,"hh:mm"))&lt;TIMEVALUE("0:00")),"",E27)</f>
        <v>0.18055555555555561</v>
      </c>
      <c r="G27" s="67">
        <f t="shared" ca="1" si="3"/>
        <v>27</v>
      </c>
      <c r="H27" s="68">
        <f t="shared" ca="1" si="0"/>
        <v>0.18055555555555561</v>
      </c>
      <c r="K27" s="69">
        <f ca="1">IF(J26="","",DATE(J26,1,2))</f>
        <v>44563</v>
      </c>
      <c r="N27" s="69" t="str">
        <f ca="1">IF(K27="","",IF(L27="日",LOOKUP(1,0/(K27+ROW($1:$6)-1=K27:K33),K27:K33)+1,
 IF(K27+2=K28,K27+1,"")))</f>
        <v/>
      </c>
      <c r="O27" s="64" t="s">
        <v>106</v>
      </c>
      <c r="Q27" s="69">
        <f ca="1">IF(P$1&lt;ROW(),"",SMALL((K:K,N:N),ROW()))</f>
        <v>44564</v>
      </c>
    </row>
    <row r="28" spans="1:17" x14ac:dyDescent="0.2">
      <c r="A28" s="64">
        <v>28</v>
      </c>
      <c r="B28" s="64" t="str">
        <f t="shared" ca="1" si="6"/>
        <v>2021/05/06</v>
      </c>
      <c r="C28" s="64">
        <f t="shared" ca="1" si="1"/>
        <v>28</v>
      </c>
      <c r="D28" s="64" t="str">
        <f t="shared" ca="1" si="2"/>
        <v>2021/05/08</v>
      </c>
      <c r="E28" s="66">
        <f t="shared" si="4"/>
        <v>0.18750000000000006</v>
      </c>
      <c r="F28" s="66">
        <f ca="1">IF(AND(変更依頼シート!$E$9=参照!$D$2,TIMEVALUE(TEXT(E28,"hh:mm"))&lt;TIMEVALUE("0:00")),"",E28)</f>
        <v>0.18750000000000006</v>
      </c>
      <c r="G28" s="67">
        <f t="shared" ca="1" si="3"/>
        <v>28</v>
      </c>
      <c r="H28" s="68">
        <f t="shared" ca="1" si="0"/>
        <v>0.18750000000000006</v>
      </c>
      <c r="K28" s="69">
        <f ca="1">IF(J26="","",DATE(J26,1,3))</f>
        <v>44564</v>
      </c>
      <c r="N28" s="69" t="str">
        <f ca="1">IF(K28="","",IF(L28="日",LOOKUP(1,0/(K28+ROW($1:$6)-1=K28:K34),K28:K34)+1,
 IF(K28+2=K30,K28+1,"")))</f>
        <v/>
      </c>
      <c r="O28" s="64" t="s">
        <v>106</v>
      </c>
      <c r="Q28" s="69">
        <f ca="1">IF(P$1&lt;ROW(),"",SMALL((K:K,N:N),ROW()))</f>
        <v>44565</v>
      </c>
    </row>
    <row r="29" spans="1:17" x14ac:dyDescent="0.2">
      <c r="A29" s="64">
        <v>29</v>
      </c>
      <c r="B29" s="64" t="str">
        <f t="shared" ca="1" si="6"/>
        <v>2021/05/07</v>
      </c>
      <c r="C29" s="64">
        <f t="shared" ca="1" si="1"/>
        <v>29</v>
      </c>
      <c r="D29" s="64" t="str">
        <f t="shared" ca="1" si="2"/>
        <v>2021/05/09</v>
      </c>
      <c r="E29" s="66">
        <f t="shared" si="4"/>
        <v>0.1944444444444445</v>
      </c>
      <c r="F29" s="66">
        <f ca="1">IF(AND(変更依頼シート!$E$9=参照!$D$2,TIMEVALUE(TEXT(E29,"hh:mm"))&lt;TIMEVALUE("0:00")),"",E29)</f>
        <v>0.1944444444444445</v>
      </c>
      <c r="G29" s="67">
        <f t="shared" ca="1" si="3"/>
        <v>29</v>
      </c>
      <c r="H29" s="68">
        <f t="shared" ca="1" si="0"/>
        <v>0.1944444444444445</v>
      </c>
      <c r="K29" s="69">
        <f ca="1">IF(J26="","",DATE(J26,1,4))</f>
        <v>44565</v>
      </c>
      <c r="M29" s="64" t="s">
        <v>152</v>
      </c>
      <c r="N29" s="69" t="str">
        <f ca="1">IF(K30="","",IF(L30="日",LOOKUP(1,0/(K30+ROW($1:$6)-1=K30:K35),K30:K35)+1,
 IF(K30+2=K31,K30+1,"")))</f>
        <v/>
      </c>
      <c r="O29" s="64" t="str">
        <f>"1月第2月曜"</f>
        <v>1月第2月曜</v>
      </c>
      <c r="Q29" s="69">
        <f ca="1">IF(P$1&lt;ROW(),"",SMALL((K:K,N:N),ROW()))</f>
        <v>44571</v>
      </c>
    </row>
    <row r="30" spans="1:17" x14ac:dyDescent="0.2">
      <c r="A30" s="64">
        <v>30</v>
      </c>
      <c r="B30" s="64" t="str">
        <f t="shared" ca="1" si="6"/>
        <v>2021/05/08</v>
      </c>
      <c r="C30" s="64">
        <f t="shared" ca="1" si="1"/>
        <v>30</v>
      </c>
      <c r="D30" s="64" t="str">
        <f t="shared" ca="1" si="2"/>
        <v>2021/05/10</v>
      </c>
      <c r="E30" s="66">
        <f t="shared" si="4"/>
        <v>0.20138888888888895</v>
      </c>
      <c r="F30" s="66">
        <f ca="1">IF(AND(変更依頼シート!$E$9=参照!$D$2,TIMEVALUE(TEXT(E30,"hh:mm"))&lt;TIMEVALUE("0:00")),"",E30)</f>
        <v>0.20138888888888895</v>
      </c>
      <c r="G30" s="67">
        <f t="shared" ca="1" si="3"/>
        <v>30</v>
      </c>
      <c r="H30" s="68">
        <f t="shared" ca="1" si="0"/>
        <v>0.20138888888888895</v>
      </c>
      <c r="K30" s="69">
        <f ca="1">IF(J26="","",DATE(J26,1,14)-WEEKDAY(DATE(J26,1,14),3))</f>
        <v>44571</v>
      </c>
      <c r="L30" s="64" t="str">
        <f t="shared" ref="L30:L43" ca="1" si="8">TEXT(K30&amp;"","aaa")</f>
        <v>月</v>
      </c>
      <c r="M30" s="64" t="s">
        <v>107</v>
      </c>
      <c r="N30" s="69" t="str">
        <f ca="1">IF(K31="","",IF(L31="日",LOOKUP(1,0/(K31+ROW($1:$6)-1=K31:K36),K31:K36)+1,
 IF(K31+2=K32,K31+1,"")))</f>
        <v/>
      </c>
      <c r="Q30" s="69">
        <f ca="1">IF(P$1&lt;ROW(),"",SMALL((K:K,N:N),ROW()))</f>
        <v>44603</v>
      </c>
    </row>
    <row r="31" spans="1:17" x14ac:dyDescent="0.2">
      <c r="A31" s="64">
        <v>31</v>
      </c>
      <c r="B31" s="64" t="str">
        <f t="shared" ca="1" si="6"/>
        <v>2021/05/09</v>
      </c>
      <c r="C31" s="64">
        <f t="shared" ca="1" si="1"/>
        <v>31</v>
      </c>
      <c r="D31" s="64" t="str">
        <f t="shared" ca="1" si="2"/>
        <v>2021/05/11</v>
      </c>
      <c r="E31" s="66">
        <f t="shared" si="4"/>
        <v>0.2083333333333334</v>
      </c>
      <c r="F31" s="66">
        <f ca="1">IF(AND(変更依頼シート!$E$9=参照!$D$2,TIMEVALUE(TEXT(E31,"hh:mm"))&lt;TIMEVALUE("0:00")),"",E31)</f>
        <v>0.2083333333333334</v>
      </c>
      <c r="G31" s="67">
        <f t="shared" ca="1" si="3"/>
        <v>31</v>
      </c>
      <c r="H31" s="68">
        <f t="shared" ca="1" si="0"/>
        <v>0.2083333333333334</v>
      </c>
      <c r="K31" s="69">
        <f ca="1">IF(J26="","",DATE(J26,2,11))</f>
        <v>44603</v>
      </c>
      <c r="L31" s="64" t="str">
        <f t="shared" ca="1" si="8"/>
        <v>金</v>
      </c>
      <c r="M31" s="64" t="s">
        <v>108</v>
      </c>
      <c r="N31" s="69" t="str">
        <f ca="1">IF(K32="","",IF(L32="日",LOOKUP(1,0/(K32+ROW($1:$6)-1=K32:K37),K32:K37)+1,
 IF(K32+2=K33,K32+1,"")))</f>
        <v/>
      </c>
      <c r="O31" s="64" t="s">
        <v>110</v>
      </c>
      <c r="Q31" s="69">
        <f ca="1">IF(P$1&lt;ROW(),"",SMALL((K:K,N:N),ROW()))</f>
        <v>44615</v>
      </c>
    </row>
    <row r="32" spans="1:17" x14ac:dyDescent="0.2">
      <c r="A32" s="64">
        <v>32</v>
      </c>
      <c r="B32" s="64" t="str">
        <f t="shared" ca="1" si="6"/>
        <v>2021/05/10</v>
      </c>
      <c r="C32" s="64">
        <f t="shared" ca="1" si="1"/>
        <v>32</v>
      </c>
      <c r="D32" s="64" t="str">
        <f t="shared" ca="1" si="2"/>
        <v>2021/05/12</v>
      </c>
      <c r="E32" s="66">
        <f t="shared" si="4"/>
        <v>0.21527777777777785</v>
      </c>
      <c r="F32" s="66">
        <f ca="1">IF(AND(変更依頼シート!$E$9=参照!$D$2,TIMEVALUE(TEXT(E32,"hh:mm"))&lt;TIMEVALUE("0:00")),"",E32)</f>
        <v>0.21527777777777785</v>
      </c>
      <c r="G32" s="67">
        <f t="shared" ca="1" si="3"/>
        <v>32</v>
      </c>
      <c r="H32" s="68">
        <f t="shared" ca="1" si="0"/>
        <v>0.21527777777777785</v>
      </c>
      <c r="K32" s="69">
        <f ca="1">IF(J26="","",DATE(J26,3,23)-MATCH(J26,CHOOSE(MOD(J26,4)+1,
 {0,1900,1960,2092},{0,1901,1993},{0,1902,2026},{1903,1927,2059})))</f>
        <v>44641</v>
      </c>
      <c r="L32" s="64" t="str">
        <f t="shared" ca="1" si="8"/>
        <v>月</v>
      </c>
      <c r="M32" s="64" t="s">
        <v>109</v>
      </c>
      <c r="N32" s="69" t="str">
        <f ca="1">IF(K33="","",IF(L33="日",LOOKUP(1,0/(K33+ROW($1:$6)-1=K33:K39),K33:K39)+1,
 IF(K33+2=K34,K33+1,"")))</f>
        <v/>
      </c>
      <c r="Q32" s="74" t="str">
        <f ca="1">IF(NOW()&lt;(TODAY()+TIMEVALUE("14:45")),"",TEXT((TODAY()+1),"yyyy/mm/dd"))</f>
        <v>2021/04/10</v>
      </c>
    </row>
    <row r="33" spans="1:15" x14ac:dyDescent="0.2">
      <c r="A33" s="64">
        <v>33</v>
      </c>
      <c r="B33" s="64" t="str">
        <f t="shared" ca="1" si="6"/>
        <v>2021/05/11</v>
      </c>
      <c r="C33" s="64">
        <f t="shared" ca="1" si="1"/>
        <v>33</v>
      </c>
      <c r="D33" s="64" t="str">
        <f t="shared" ca="1" si="2"/>
        <v>2021/05/13</v>
      </c>
      <c r="E33" s="66">
        <f t="shared" si="4"/>
        <v>0.22222222222222229</v>
      </c>
      <c r="F33" s="66">
        <f ca="1">IF(AND(変更依頼シート!$E$9=参照!$D$2,TIMEVALUE(TEXT(E33,"hh:mm"))&lt;TIMEVALUE("0:00")),"",E33)</f>
        <v>0.22222222222222229</v>
      </c>
      <c r="G33" s="67">
        <f t="shared" ca="1" si="3"/>
        <v>33</v>
      </c>
      <c r="H33" s="68">
        <f t="shared" ref="H33:H64" ca="1" si="9">IFERROR(IF(ROW(F33)&gt;COUNTA($F$1:$F$144),"",INDEX($F$1:$F$144,SMALL($G$1:$G$144,ROW(F33)))),"")</f>
        <v>0.22222222222222229</v>
      </c>
      <c r="K33" s="69">
        <f ca="1">IF(J26="","",DATE(J26,4,29))</f>
        <v>44680</v>
      </c>
      <c r="L33" s="64" t="str">
        <f t="shared" ca="1" si="8"/>
        <v>金</v>
      </c>
      <c r="M33" s="64" t="s">
        <v>111</v>
      </c>
      <c r="N33" s="69" t="str">
        <f ca="1">IF(K34="","",IF(L34="日",LOOKUP(1,0/(K34+ROW($1:$6)-1=K34:K40),K34:K40)+1,
 IF(K34+2=K35,K34+1,"")))</f>
        <v/>
      </c>
    </row>
    <row r="34" spans="1:15" x14ac:dyDescent="0.2">
      <c r="A34" s="64">
        <v>34</v>
      </c>
      <c r="B34" s="64" t="str">
        <f t="shared" ca="1" si="6"/>
        <v>2021/05/12</v>
      </c>
      <c r="C34" s="64">
        <f t="shared" ca="1" si="1"/>
        <v>34</v>
      </c>
      <c r="D34" s="64" t="str">
        <f t="shared" ca="1" si="2"/>
        <v>2021/05/14</v>
      </c>
      <c r="E34" s="66">
        <f t="shared" si="4"/>
        <v>0.22916666666666674</v>
      </c>
      <c r="F34" s="66">
        <f ca="1">IF(AND(変更依頼シート!$E$9=参照!$D$2,TIMEVALUE(TEXT(E34,"hh:mm"))&lt;TIMEVALUE("0:00")),"",E34)</f>
        <v>0.22916666666666674</v>
      </c>
      <c r="G34" s="67">
        <f t="shared" ca="1" si="3"/>
        <v>34</v>
      </c>
      <c r="H34" s="68">
        <f t="shared" ca="1" si="9"/>
        <v>0.22916666666666674</v>
      </c>
      <c r="K34" s="69">
        <f ca="1">IF(J26="","",DATE(J26,5,3))</f>
        <v>44684</v>
      </c>
      <c r="L34" s="64" t="str">
        <f t="shared" ca="1" si="8"/>
        <v>火</v>
      </c>
      <c r="M34" s="64" t="s">
        <v>112</v>
      </c>
      <c r="N34" s="69" t="str">
        <f ca="1">IF(K35="","",IF(L35="日",LOOKUP(1,0/(K35+ROW($1:$6)-1=K35:K41),K35:K41)+1,
 IF(K35+2=K36,K35+1,"")))</f>
        <v/>
      </c>
    </row>
    <row r="35" spans="1:15" x14ac:dyDescent="0.2">
      <c r="A35" s="64">
        <v>35</v>
      </c>
      <c r="B35" s="64" t="str">
        <f t="shared" ca="1" si="6"/>
        <v>2021/05/13</v>
      </c>
      <c r="C35" s="64">
        <f t="shared" ca="1" si="1"/>
        <v>35</v>
      </c>
      <c r="D35" s="64" t="str">
        <f t="shared" ca="1" si="2"/>
        <v>2021/05/15</v>
      </c>
      <c r="E35" s="66">
        <f t="shared" si="4"/>
        <v>0.23611111111111119</v>
      </c>
      <c r="F35" s="66">
        <f ca="1">IF(AND(変更依頼シート!$E$9=参照!$D$2,TIMEVALUE(TEXT(E35,"hh:mm"))&lt;TIMEVALUE("0:00")),"",E35)</f>
        <v>0.23611111111111119</v>
      </c>
      <c r="G35" s="67">
        <f t="shared" ca="1" si="3"/>
        <v>35</v>
      </c>
      <c r="H35" s="68">
        <f t="shared" ca="1" si="9"/>
        <v>0.23611111111111119</v>
      </c>
      <c r="K35" s="69">
        <f ca="1">IF(J26="","",DATE(J26,5,4))</f>
        <v>44685</v>
      </c>
      <c r="L35" s="64" t="str">
        <f t="shared" ca="1" si="8"/>
        <v>水</v>
      </c>
      <c r="M35" s="64" t="s">
        <v>113</v>
      </c>
      <c r="N35" s="69" t="str">
        <f ca="1">IF(K36="","",IF(L36="日",LOOKUP(1,0/(K36+ROW($1:$6)-1=K36:K42),K36:K42)+1,
 IF(K36+2=K37,K36+1,"")))</f>
        <v/>
      </c>
    </row>
    <row r="36" spans="1:15" x14ac:dyDescent="0.2">
      <c r="A36" s="64">
        <v>36</v>
      </c>
      <c r="B36" s="64" t="str">
        <f t="shared" ca="1" si="6"/>
        <v>2021/05/14</v>
      </c>
      <c r="C36" s="64">
        <f t="shared" ca="1" si="1"/>
        <v>36</v>
      </c>
      <c r="D36" s="64" t="str">
        <f t="shared" ca="1" si="2"/>
        <v>2021/05/16</v>
      </c>
      <c r="E36" s="66">
        <f t="shared" si="4"/>
        <v>0.24305555555555564</v>
      </c>
      <c r="F36" s="66">
        <f ca="1">IF(AND(変更依頼シート!$E$9=参照!$D$2,TIMEVALUE(TEXT(E36,"hh:mm"))&lt;TIMEVALUE("0:00")),"",E36)</f>
        <v>0.24305555555555564</v>
      </c>
      <c r="G36" s="67">
        <f t="shared" ca="1" si="3"/>
        <v>36</v>
      </c>
      <c r="H36" s="68">
        <f t="shared" ca="1" si="9"/>
        <v>0.24305555555555564</v>
      </c>
      <c r="K36" s="69">
        <f ca="1">IF(J26="","",DATE(J26,5,5))</f>
        <v>44686</v>
      </c>
      <c r="L36" s="64" t="str">
        <f t="shared" ca="1" si="8"/>
        <v>木</v>
      </c>
      <c r="M36" s="64" t="s">
        <v>114</v>
      </c>
      <c r="N36" s="69" t="str">
        <f ca="1">IF(K37="","",IF(L37="日",LOOKUP(1,0/(K37+ROW($1:$6)-1=K37:K43),K37:K43)+1,
 IF(K37+2=K39,K37+1,"")))</f>
        <v/>
      </c>
      <c r="O36" s="64" t="str">
        <f>"7月第3月曜"</f>
        <v>7月第3月曜</v>
      </c>
    </row>
    <row r="37" spans="1:15" x14ac:dyDescent="0.2">
      <c r="A37" s="64">
        <v>37</v>
      </c>
      <c r="B37" s="64" t="str">
        <f t="shared" ca="1" si="6"/>
        <v>2021/05/15</v>
      </c>
      <c r="C37" s="64">
        <f t="shared" ca="1" si="1"/>
        <v>37</v>
      </c>
      <c r="D37" s="64" t="str">
        <f t="shared" ca="1" si="2"/>
        <v>2021/05/17</v>
      </c>
      <c r="E37" s="66">
        <f t="shared" si="4"/>
        <v>0.25000000000000006</v>
      </c>
      <c r="F37" s="66">
        <f ca="1">IF(AND(変更依頼シート!$E$9=参照!$D$2,TIMEVALUE(TEXT(E37,"hh:mm"))&lt;TIMEVALUE("0:00")),"",E37)</f>
        <v>0.25000000000000006</v>
      </c>
      <c r="G37" s="67">
        <f t="shared" ca="1" si="3"/>
        <v>37</v>
      </c>
      <c r="H37" s="68">
        <f t="shared" ca="1" si="9"/>
        <v>0.25000000000000006</v>
      </c>
      <c r="K37" s="69">
        <f ca="1">IF(J26="","",DATE(J26,7,21)-WEEKDAY(DATE(J26,7,21),3))</f>
        <v>44760</v>
      </c>
      <c r="L37" s="64" t="str">
        <f t="shared" ca="1" si="8"/>
        <v>月</v>
      </c>
      <c r="M37" s="64" t="s">
        <v>115</v>
      </c>
    </row>
    <row r="38" spans="1:15" x14ac:dyDescent="0.2">
      <c r="A38" s="64">
        <v>38</v>
      </c>
      <c r="B38" s="64" t="str">
        <f t="shared" ca="1" si="6"/>
        <v>2021/05/16</v>
      </c>
      <c r="C38" s="64">
        <f t="shared" ca="1" si="1"/>
        <v>38</v>
      </c>
      <c r="D38" s="64" t="str">
        <f t="shared" ca="1" si="2"/>
        <v>2021/05/18</v>
      </c>
      <c r="E38" s="66">
        <f t="shared" si="4"/>
        <v>0.25694444444444448</v>
      </c>
      <c r="F38" s="66">
        <f ca="1">IF(AND(変更依頼シート!$E$9=参照!$D$2,TIMEVALUE(TEXT(E38,"hh:mm"))&lt;TIMEVALUE("0:00")),"",E38)</f>
        <v>0.25694444444444448</v>
      </c>
      <c r="G38" s="67">
        <f t="shared" ca="1" si="3"/>
        <v>38</v>
      </c>
      <c r="H38" s="68">
        <f t="shared" ca="1" si="9"/>
        <v>0.25694444444444448</v>
      </c>
      <c r="K38" s="69">
        <f ca="1">IF(J26="","",DATE(J26,8,11))</f>
        <v>44784</v>
      </c>
      <c r="L38" s="64" t="str">
        <f t="shared" ca="1" si="8"/>
        <v>木</v>
      </c>
      <c r="M38" s="64" t="s">
        <v>116</v>
      </c>
      <c r="N38" s="69" t="str">
        <f t="shared" ref="N38:N43" ca="1" si="10">IF(K39="","",IF(L39="日",LOOKUP(1,0/(K39+ROW($1:$6)-1=K39:K44),K39:K44)+1,
 IF(K39+2=K40,K39+1,"")))</f>
        <v/>
      </c>
      <c r="O38" s="64" t="str">
        <f>"9月第3月曜"</f>
        <v>9月第3月曜</v>
      </c>
    </row>
    <row r="39" spans="1:15" x14ac:dyDescent="0.2">
      <c r="A39" s="64">
        <v>39</v>
      </c>
      <c r="B39" s="64" t="str">
        <f t="shared" ca="1" si="6"/>
        <v>2021/05/17</v>
      </c>
      <c r="C39" s="64">
        <f t="shared" ca="1" si="1"/>
        <v>39</v>
      </c>
      <c r="D39" s="64" t="str">
        <f t="shared" ca="1" si="2"/>
        <v>2021/05/19</v>
      </c>
      <c r="E39" s="66">
        <f t="shared" si="4"/>
        <v>0.2638888888888889</v>
      </c>
      <c r="F39" s="66">
        <f ca="1">IF(AND(変更依頼シート!$E$9=参照!$D$2,TIMEVALUE(TEXT(E39,"hh:mm"))&lt;TIMEVALUE("0:00")),"",E39)</f>
        <v>0.2638888888888889</v>
      </c>
      <c r="G39" s="67">
        <f t="shared" ca="1" si="3"/>
        <v>39</v>
      </c>
      <c r="H39" s="68">
        <f t="shared" ca="1" si="9"/>
        <v>0.2638888888888889</v>
      </c>
      <c r="K39" s="69">
        <f ca="1">IF(J26="","",DATE(J26,9,21)-WEEKDAY(DATE(J26,9,21),3))</f>
        <v>44823</v>
      </c>
      <c r="L39" s="64" t="str">
        <f t="shared" ca="1" si="8"/>
        <v>月</v>
      </c>
      <c r="M39" s="64" t="s">
        <v>117</v>
      </c>
      <c r="N39" s="69" t="str">
        <f t="shared" ca="1" si="10"/>
        <v/>
      </c>
      <c r="O39" s="64" t="s">
        <v>119</v>
      </c>
    </row>
    <row r="40" spans="1:15" x14ac:dyDescent="0.2">
      <c r="A40" s="64">
        <v>40</v>
      </c>
      <c r="B40" s="64" t="str">
        <f t="shared" ca="1" si="6"/>
        <v>2021/05/18</v>
      </c>
      <c r="C40" s="64">
        <f t="shared" ca="1" si="1"/>
        <v>40</v>
      </c>
      <c r="D40" s="64" t="str">
        <f t="shared" ca="1" si="2"/>
        <v>2021/05/20</v>
      </c>
      <c r="E40" s="66">
        <f t="shared" si="4"/>
        <v>0.27083333333333331</v>
      </c>
      <c r="F40" s="66">
        <f ca="1">IF(AND(変更依頼シート!$E$9=参照!$D$2,TIMEVALUE(TEXT(E40,"hh:mm"))&lt;TIMEVALUE("0:00")),"",E40)</f>
        <v>0.27083333333333331</v>
      </c>
      <c r="G40" s="67">
        <f t="shared" ca="1" si="3"/>
        <v>40</v>
      </c>
      <c r="H40" s="68">
        <f t="shared" ca="1" si="9"/>
        <v>0.27083333333333331</v>
      </c>
      <c r="K40" s="69">
        <f ca="1">IF(J26="","",DATE(J26,9,25)-MATCH(J26,CHOOSE(MOD(J26,4)+1,
{0,1900,2012},{1901,1921,2045},{1902,1950,2078},{1903,1983})))</f>
        <v>44827</v>
      </c>
      <c r="L40" s="64" t="str">
        <f t="shared" ca="1" si="8"/>
        <v>金</v>
      </c>
      <c r="M40" s="64" t="s">
        <v>118</v>
      </c>
      <c r="N40" s="69" t="str">
        <f t="shared" ca="1" si="10"/>
        <v/>
      </c>
      <c r="O40" s="64" t="str">
        <f>"10月第2月曜"</f>
        <v>10月第2月曜</v>
      </c>
    </row>
    <row r="41" spans="1:15" x14ac:dyDescent="0.2">
      <c r="A41" s="64">
        <v>41</v>
      </c>
      <c r="B41" s="64" t="str">
        <f t="shared" ca="1" si="6"/>
        <v>2021/05/19</v>
      </c>
      <c r="C41" s="64">
        <f t="shared" ca="1" si="1"/>
        <v>41</v>
      </c>
      <c r="D41" s="64" t="str">
        <f t="shared" ca="1" si="2"/>
        <v>2021/05/21</v>
      </c>
      <c r="E41" s="66">
        <f t="shared" si="4"/>
        <v>0.27777777777777773</v>
      </c>
      <c r="F41" s="66">
        <f ca="1">IF(AND(変更依頼シート!$E$9=参照!$D$2,TIMEVALUE(TEXT(E41,"hh:mm"))&lt;TIMEVALUE("0:00")),"",E41)</f>
        <v>0.27777777777777773</v>
      </c>
      <c r="G41" s="67">
        <f t="shared" ca="1" si="3"/>
        <v>41</v>
      </c>
      <c r="H41" s="68">
        <f t="shared" ca="1" si="9"/>
        <v>0.27777777777777773</v>
      </c>
      <c r="K41" s="69">
        <f ca="1">IF(J26="","",DATE(J26,10,14)-WEEKDAY(DATE(J26,10,14),3))</f>
        <v>44844</v>
      </c>
      <c r="L41" s="64" t="str">
        <f t="shared" ca="1" si="8"/>
        <v>月</v>
      </c>
      <c r="M41" s="64" t="s">
        <v>120</v>
      </c>
      <c r="N41" s="69" t="str">
        <f t="shared" ca="1" si="10"/>
        <v/>
      </c>
    </row>
    <row r="42" spans="1:15" x14ac:dyDescent="0.2">
      <c r="A42" s="64">
        <v>42</v>
      </c>
      <c r="B42" s="64" t="str">
        <f t="shared" ca="1" si="6"/>
        <v>2021/05/20</v>
      </c>
      <c r="C42" s="64">
        <f t="shared" ca="1" si="1"/>
        <v>42</v>
      </c>
      <c r="D42" s="64" t="str">
        <f t="shared" ca="1" si="2"/>
        <v>2021/05/22</v>
      </c>
      <c r="E42" s="66">
        <f t="shared" si="4"/>
        <v>0.28472222222222215</v>
      </c>
      <c r="F42" s="66">
        <f ca="1">IF(AND(変更依頼シート!$E$9=参照!$D$2,TIMEVALUE(TEXT(E42,"hh:mm"))&lt;TIMEVALUE("0:00")),"",E42)</f>
        <v>0.28472222222222215</v>
      </c>
      <c r="G42" s="67">
        <f t="shared" ca="1" si="3"/>
        <v>42</v>
      </c>
      <c r="H42" s="68">
        <f t="shared" ca="1" si="9"/>
        <v>0.28472222222222215</v>
      </c>
      <c r="K42" s="69">
        <f ca="1">IF(J26="","",DATE(J26,11,3))</f>
        <v>44868</v>
      </c>
      <c r="L42" s="64" t="str">
        <f t="shared" ca="1" si="8"/>
        <v>木</v>
      </c>
      <c r="M42" s="64" t="s">
        <v>121</v>
      </c>
      <c r="N42" s="69" t="str">
        <f t="shared" ca="1" si="10"/>
        <v/>
      </c>
    </row>
    <row r="43" spans="1:15" x14ac:dyDescent="0.2">
      <c r="A43" s="64">
        <v>43</v>
      </c>
      <c r="B43" s="64" t="str">
        <f t="shared" ca="1" si="6"/>
        <v>2021/05/21</v>
      </c>
      <c r="C43" s="64">
        <f t="shared" ca="1" si="1"/>
        <v>43</v>
      </c>
      <c r="D43" s="64" t="str">
        <f t="shared" ca="1" si="2"/>
        <v>2021/05/23</v>
      </c>
      <c r="E43" s="66">
        <f t="shared" si="4"/>
        <v>0.29166666666666657</v>
      </c>
      <c r="F43" s="66">
        <f ca="1">IF(AND(変更依頼シート!$E$9=参照!$D$2,TIMEVALUE(TEXT(E43,"hh:mm"))&lt;TIMEVALUE("0:00")),"",E43)</f>
        <v>0.29166666666666657</v>
      </c>
      <c r="G43" s="67">
        <f t="shared" ca="1" si="3"/>
        <v>43</v>
      </c>
      <c r="H43" s="68">
        <f t="shared" ca="1" si="9"/>
        <v>0.29166666666666657</v>
      </c>
      <c r="K43" s="69">
        <f ca="1">IF(J26="","",DATE(J26,11,23))</f>
        <v>44888</v>
      </c>
      <c r="L43" s="64" t="str">
        <f t="shared" ca="1" si="8"/>
        <v>水</v>
      </c>
      <c r="M43" s="64" t="s">
        <v>122</v>
      </c>
      <c r="N43" s="69" t="str">
        <f t="shared" ca="1" si="10"/>
        <v/>
      </c>
    </row>
    <row r="44" spans="1:15" x14ac:dyDescent="0.2">
      <c r="A44" s="64">
        <v>44</v>
      </c>
      <c r="B44" s="64" t="str">
        <f t="shared" ca="1" si="6"/>
        <v>2021/05/22</v>
      </c>
      <c r="C44" s="64">
        <f t="shared" ca="1" si="1"/>
        <v>44</v>
      </c>
      <c r="D44" s="64" t="str">
        <f t="shared" ca="1" si="2"/>
        <v>2021/05/24</v>
      </c>
      <c r="E44" s="66">
        <f t="shared" si="4"/>
        <v>0.29861111111111099</v>
      </c>
      <c r="F44" s="66">
        <f ca="1">IF(AND(変更依頼シート!$E$9=参照!$D$2,TIMEVALUE(TEXT(E44,"hh:mm"))&lt;TIMEVALUE("0:00")),"",E44)</f>
        <v>0.29861111111111099</v>
      </c>
      <c r="G44" s="67">
        <f t="shared" ca="1" si="3"/>
        <v>44</v>
      </c>
      <c r="H44" s="68">
        <f t="shared" ca="1" si="9"/>
        <v>0.29861111111111099</v>
      </c>
      <c r="K44" s="69">
        <f ca="1">IF(J26="","",DATE(J26,2,23))</f>
        <v>44615</v>
      </c>
      <c r="M44" s="64" t="s">
        <v>123</v>
      </c>
      <c r="N44" s="69" t="str">
        <f ca="1">IF(K45="","",IF(L45="日",LOOKUP(1,0/(K45+ROW($1:$6)-1=K45:K47),K45:K47)+1,
 IF(K45+2=K46,K45+1,"")))</f>
        <v/>
      </c>
      <c r="O44" s="64" t="s">
        <v>124</v>
      </c>
    </row>
    <row r="45" spans="1:15" x14ac:dyDescent="0.2">
      <c r="A45" s="64">
        <v>45</v>
      </c>
      <c r="B45" s="64" t="str">
        <f t="shared" ca="1" si="6"/>
        <v>2021/05/23</v>
      </c>
      <c r="C45" s="64">
        <f t="shared" ca="1" si="1"/>
        <v>45</v>
      </c>
      <c r="D45" s="64" t="str">
        <f t="shared" ca="1" si="2"/>
        <v>2021/05/25</v>
      </c>
      <c r="E45" s="66">
        <f t="shared" si="4"/>
        <v>0.30555555555555541</v>
      </c>
      <c r="F45" s="66">
        <f ca="1">IF(AND(変更依頼シート!$E$9=参照!$D$2,TIMEVALUE(TEXT(E45,"hh:mm"))&lt;TIMEVALUE("0:00")),"",E45)</f>
        <v>0.30555555555555541</v>
      </c>
      <c r="G45" s="67">
        <f t="shared" ca="1" si="3"/>
        <v>45</v>
      </c>
      <c r="H45" s="68">
        <f t="shared" ca="1" si="9"/>
        <v>0.30555555555555541</v>
      </c>
      <c r="K45" s="69">
        <f ca="1">IF(J26="","",DATE(J26,12,29))</f>
        <v>44924</v>
      </c>
      <c r="N45" s="69" t="str">
        <f ca="1">IF(K46="","",IF(L46="日",LOOKUP(1,0/(K46+ROW($1:$6)-1=K46:K47),K46:K47)+1,
 IF(K46+2=K47,K46+1,"")))</f>
        <v/>
      </c>
      <c r="O45" s="64" t="s">
        <v>124</v>
      </c>
    </row>
    <row r="46" spans="1:15" x14ac:dyDescent="0.2">
      <c r="A46" s="64">
        <v>46</v>
      </c>
      <c r="B46" s="64" t="str">
        <f t="shared" ca="1" si="6"/>
        <v>2021/05/24</v>
      </c>
      <c r="C46" s="64">
        <f t="shared" ca="1" si="1"/>
        <v>46</v>
      </c>
      <c r="D46" s="64" t="str">
        <f t="shared" ca="1" si="2"/>
        <v>2021/05/26</v>
      </c>
      <c r="E46" s="66">
        <f t="shared" si="4"/>
        <v>0.31249999999999983</v>
      </c>
      <c r="F46" s="66">
        <f ca="1">IF(AND(変更依頼シート!$E$9=参照!$D$2,TIMEVALUE(TEXT(E46,"hh:mm"))&lt;TIMEVALUE("0:00")),"",E46)</f>
        <v>0.31249999999999983</v>
      </c>
      <c r="G46" s="67">
        <f t="shared" ca="1" si="3"/>
        <v>46</v>
      </c>
      <c r="H46" s="68">
        <f t="shared" ca="1" si="9"/>
        <v>0.31249999999999983</v>
      </c>
      <c r="K46" s="69">
        <f ca="1">IF(J26="","",DATE(J26,12,30))</f>
        <v>44925</v>
      </c>
      <c r="N46" s="69" t="str">
        <f ca="1">IF(K47="","",IF(L47="日",LOOKUP(1,0/(K47+ROW($1:$6)-1=K47:K49),K47:K49)+1,
 IF(K47+2=K48,K47+1,"")))</f>
        <v/>
      </c>
      <c r="O46" s="64" t="s">
        <v>125</v>
      </c>
    </row>
    <row r="47" spans="1:15" x14ac:dyDescent="0.2">
      <c r="A47" s="64">
        <v>47</v>
      </c>
      <c r="B47" s="64" t="str">
        <f t="shared" ca="1" si="6"/>
        <v>2021/05/25</v>
      </c>
      <c r="C47" s="64">
        <f t="shared" ca="1" si="1"/>
        <v>47</v>
      </c>
      <c r="D47" s="64" t="str">
        <f t="shared" ca="1" si="2"/>
        <v>2021/05/27</v>
      </c>
      <c r="E47" s="66">
        <f t="shared" si="4"/>
        <v>0.31944444444444425</v>
      </c>
      <c r="F47" s="66">
        <f ca="1">IF(AND(変更依頼シート!$E$9=参照!$D$2,TIMEVALUE(TEXT(E47,"hh:mm"))&lt;TIMEVALUE("0:00")),"",E47)</f>
        <v>0.31944444444444425</v>
      </c>
      <c r="G47" s="67">
        <f t="shared" ca="1" si="3"/>
        <v>47</v>
      </c>
      <c r="H47" s="68">
        <f t="shared" ca="1" si="9"/>
        <v>0.31944444444444425</v>
      </c>
      <c r="K47" s="69">
        <f ca="1">IF(J26="","",DATE(J26,12,31))</f>
        <v>44926</v>
      </c>
      <c r="L47" s="64" t="str">
        <f ca="1">TEXT(K47&amp;"","aaa")</f>
        <v>土</v>
      </c>
    </row>
    <row r="48" spans="1:15" x14ac:dyDescent="0.2">
      <c r="A48" s="64">
        <v>48</v>
      </c>
      <c r="B48" s="64" t="str">
        <f t="shared" ca="1" si="6"/>
        <v>2021/05/26</v>
      </c>
      <c r="C48" s="64">
        <f t="shared" ca="1" si="1"/>
        <v>48</v>
      </c>
      <c r="D48" s="64" t="str">
        <f t="shared" ca="1" si="2"/>
        <v>2021/05/28</v>
      </c>
      <c r="E48" s="66">
        <f t="shared" si="4"/>
        <v>0.32638888888888867</v>
      </c>
      <c r="F48" s="66">
        <f ca="1">IF(AND(変更依頼シート!$E$9=参照!$D$2,TIMEVALUE(TEXT(E48,"hh:mm"))&lt;TIMEVALUE("0:00")),"",E48)</f>
        <v>0.32638888888888867</v>
      </c>
      <c r="G48" s="67">
        <f t="shared" ca="1" si="3"/>
        <v>48</v>
      </c>
      <c r="H48" s="68">
        <f t="shared" ca="1" si="9"/>
        <v>0.32638888888888867</v>
      </c>
    </row>
    <row r="49" spans="1:8" x14ac:dyDescent="0.2">
      <c r="A49" s="64">
        <v>49</v>
      </c>
      <c r="B49" s="64" t="str">
        <f t="shared" ca="1" si="6"/>
        <v>2021/05/27</v>
      </c>
      <c r="C49" s="64">
        <f t="shared" ca="1" si="1"/>
        <v>49</v>
      </c>
      <c r="D49" s="64" t="str">
        <f t="shared" ca="1" si="2"/>
        <v>2021/05/29</v>
      </c>
      <c r="E49" s="66">
        <f t="shared" si="4"/>
        <v>0.33333333333333309</v>
      </c>
      <c r="F49" s="66">
        <f ca="1">IF(AND(変更依頼シート!$E$9=参照!$D$2,TIMEVALUE(TEXT(E49,"hh:mm"))&lt;TIMEVALUE("0:00")),"",E49)</f>
        <v>0.33333333333333309</v>
      </c>
      <c r="G49" s="67">
        <f t="shared" ca="1" si="3"/>
        <v>49</v>
      </c>
      <c r="H49" s="68">
        <f t="shared" ca="1" si="9"/>
        <v>0.33333333333333309</v>
      </c>
    </row>
    <row r="50" spans="1:8" x14ac:dyDescent="0.2">
      <c r="A50" s="64">
        <v>50</v>
      </c>
      <c r="B50" s="64" t="str">
        <f t="shared" ca="1" si="6"/>
        <v>2021/05/28</v>
      </c>
      <c r="C50" s="64">
        <f t="shared" ca="1" si="1"/>
        <v>50</v>
      </c>
      <c r="D50" s="64" t="str">
        <f t="shared" ca="1" si="2"/>
        <v>2021/05/30</v>
      </c>
      <c r="E50" s="66">
        <f t="shared" si="4"/>
        <v>0.34027777777777751</v>
      </c>
      <c r="F50" s="66">
        <f ca="1">IF(AND(変更依頼シート!$E$9=参照!$D$2,TIMEVALUE(TEXT(E50,"hh:mm"))&lt;TIMEVALUE("0:00")),"",E50)</f>
        <v>0.34027777777777751</v>
      </c>
      <c r="G50" s="67">
        <f t="shared" ca="1" si="3"/>
        <v>50</v>
      </c>
      <c r="H50" s="68">
        <f t="shared" ca="1" si="9"/>
        <v>0.34027777777777751</v>
      </c>
    </row>
    <row r="51" spans="1:8" x14ac:dyDescent="0.2">
      <c r="A51" s="64">
        <v>51</v>
      </c>
      <c r="B51" s="64" t="str">
        <f t="shared" ca="1" si="6"/>
        <v>2021/05/29</v>
      </c>
      <c r="C51" s="64">
        <f t="shared" ca="1" si="1"/>
        <v>51</v>
      </c>
      <c r="D51" s="64" t="str">
        <f t="shared" ca="1" si="2"/>
        <v/>
      </c>
      <c r="E51" s="66">
        <f t="shared" si="4"/>
        <v>0.34722222222222193</v>
      </c>
      <c r="F51" s="66">
        <f ca="1">IF(AND(変更依頼シート!$E$9=参照!$D$2,TIMEVALUE(TEXT(E51,"hh:mm"))&lt;TIMEVALUE("0:00")),"",E51)</f>
        <v>0.34722222222222193</v>
      </c>
      <c r="G51" s="67">
        <f t="shared" ca="1" si="3"/>
        <v>51</v>
      </c>
      <c r="H51" s="68">
        <f t="shared" ca="1" si="9"/>
        <v>0.34722222222222193</v>
      </c>
    </row>
    <row r="52" spans="1:8" x14ac:dyDescent="0.2">
      <c r="A52" s="64">
        <v>52</v>
      </c>
      <c r="B52" s="64" t="str">
        <f t="shared" ca="1" si="6"/>
        <v>2021/05/30</v>
      </c>
      <c r="C52" s="64">
        <f t="shared" ca="1" si="1"/>
        <v>52</v>
      </c>
      <c r="D52" s="64" t="str">
        <f t="shared" ca="1" si="2"/>
        <v/>
      </c>
      <c r="E52" s="66">
        <f t="shared" si="4"/>
        <v>0.35416666666666635</v>
      </c>
      <c r="F52" s="66">
        <f ca="1">IF(AND(変更依頼シート!$E$9=参照!$D$2,TIMEVALUE(TEXT(E52,"hh:mm"))&lt;TIMEVALUE("0:00")),"",E52)</f>
        <v>0.35416666666666635</v>
      </c>
      <c r="G52" s="67">
        <f t="shared" ca="1" si="3"/>
        <v>52</v>
      </c>
      <c r="H52" s="68">
        <f t="shared" ca="1" si="9"/>
        <v>0.35416666666666635</v>
      </c>
    </row>
    <row r="53" spans="1:8" x14ac:dyDescent="0.2">
      <c r="A53" s="64">
        <v>53</v>
      </c>
      <c r="B53" s="64" t="str">
        <f t="shared" ca="1" si="6"/>
        <v/>
      </c>
      <c r="C53" s="64" t="str">
        <f t="shared" ca="1" si="1"/>
        <v/>
      </c>
      <c r="D53" s="64" t="str">
        <f t="shared" ca="1" si="2"/>
        <v/>
      </c>
      <c r="E53" s="66">
        <f t="shared" si="4"/>
        <v>0.36111111111111077</v>
      </c>
      <c r="F53" s="66">
        <f ca="1">IF(AND(変更依頼シート!$E$9=参照!$D$2,TIMEVALUE(TEXT(E53,"hh:mm"))&lt;TIMEVALUE("0:00")),"",E53)</f>
        <v>0.36111111111111077</v>
      </c>
      <c r="G53" s="67">
        <f t="shared" ca="1" si="3"/>
        <v>53</v>
      </c>
      <c r="H53" s="68">
        <f t="shared" ca="1" si="9"/>
        <v>0.36111111111111077</v>
      </c>
    </row>
    <row r="54" spans="1:8" x14ac:dyDescent="0.2">
      <c r="A54" s="64">
        <v>54</v>
      </c>
      <c r="B54" s="64" t="str">
        <f t="shared" ca="1" si="6"/>
        <v/>
      </c>
      <c r="C54" s="64" t="str">
        <f t="shared" ca="1" si="1"/>
        <v/>
      </c>
      <c r="D54" s="64" t="str">
        <f t="shared" ca="1" si="2"/>
        <v/>
      </c>
      <c r="E54" s="66">
        <f t="shared" si="4"/>
        <v>0.36805555555555519</v>
      </c>
      <c r="F54" s="66">
        <f ca="1">IF(AND(変更依頼シート!$E$9=参照!$D$2,TIMEVALUE(TEXT(E54,"hh:mm"))&lt;TIMEVALUE("0:00")),"",E54)</f>
        <v>0.36805555555555519</v>
      </c>
      <c r="G54" s="67">
        <f t="shared" ca="1" si="3"/>
        <v>54</v>
      </c>
      <c r="H54" s="68">
        <f t="shared" ca="1" si="9"/>
        <v>0.36805555555555519</v>
      </c>
    </row>
    <row r="55" spans="1:8" x14ac:dyDescent="0.2">
      <c r="A55" s="64">
        <v>55</v>
      </c>
      <c r="B55" s="64" t="str">
        <f t="shared" ca="1" si="6"/>
        <v/>
      </c>
      <c r="C55" s="64" t="str">
        <f t="shared" ca="1" si="1"/>
        <v/>
      </c>
      <c r="D55" s="64" t="str">
        <f t="shared" ca="1" si="2"/>
        <v/>
      </c>
      <c r="E55" s="66">
        <f t="shared" si="4"/>
        <v>0.37499999999999961</v>
      </c>
      <c r="F55" s="66">
        <f ca="1">IF(AND(変更依頼シート!$E$9=参照!$D$2,TIMEVALUE(TEXT(E55,"hh:mm"))&lt;TIMEVALUE("0:00")),"",E55)</f>
        <v>0.37499999999999961</v>
      </c>
      <c r="G55" s="67">
        <f t="shared" ca="1" si="3"/>
        <v>55</v>
      </c>
      <c r="H55" s="68">
        <f t="shared" ca="1" si="9"/>
        <v>0.37499999999999961</v>
      </c>
    </row>
    <row r="56" spans="1:8" x14ac:dyDescent="0.2">
      <c r="A56" s="64">
        <v>56</v>
      </c>
      <c r="B56" s="64" t="str">
        <f t="shared" ca="1" si="6"/>
        <v/>
      </c>
      <c r="C56" s="64" t="str">
        <f t="shared" ca="1" si="1"/>
        <v/>
      </c>
      <c r="D56" s="64" t="str">
        <f t="shared" ca="1" si="2"/>
        <v/>
      </c>
      <c r="E56" s="66">
        <f t="shared" si="4"/>
        <v>0.38194444444444403</v>
      </c>
      <c r="F56" s="66">
        <f ca="1">IF(AND(変更依頼シート!$E$9=参照!$D$2,TIMEVALUE(TEXT(E56,"hh:mm"))&lt;TIMEVALUE("0:00")),"",E56)</f>
        <v>0.38194444444444403</v>
      </c>
      <c r="G56" s="67">
        <f t="shared" ca="1" si="3"/>
        <v>56</v>
      </c>
      <c r="H56" s="68">
        <f t="shared" ca="1" si="9"/>
        <v>0.38194444444444403</v>
      </c>
    </row>
    <row r="57" spans="1:8" x14ac:dyDescent="0.2">
      <c r="A57" s="64">
        <v>57</v>
      </c>
      <c r="B57" s="64" t="str">
        <f t="shared" ca="1" si="6"/>
        <v/>
      </c>
      <c r="C57" s="64" t="str">
        <f t="shared" ca="1" si="1"/>
        <v/>
      </c>
      <c r="D57" s="64" t="str">
        <f t="shared" ca="1" si="2"/>
        <v/>
      </c>
      <c r="E57" s="66">
        <f t="shared" si="4"/>
        <v>0.38888888888888845</v>
      </c>
      <c r="F57" s="66">
        <f ca="1">IF(AND(変更依頼シート!$E$9=参照!$D$2,TIMEVALUE(TEXT(E57,"hh:mm"))&lt;TIMEVALUE("0:00")),"",E57)</f>
        <v>0.38888888888888845</v>
      </c>
      <c r="G57" s="67">
        <f t="shared" ca="1" si="3"/>
        <v>57</v>
      </c>
      <c r="H57" s="68">
        <f t="shared" ca="1" si="9"/>
        <v>0.38888888888888845</v>
      </c>
    </row>
    <row r="58" spans="1:8" x14ac:dyDescent="0.2">
      <c r="A58" s="64">
        <v>58</v>
      </c>
      <c r="B58" s="64" t="str">
        <f t="shared" ca="1" si="6"/>
        <v/>
      </c>
      <c r="C58" s="64" t="str">
        <f t="shared" ca="1" si="1"/>
        <v/>
      </c>
      <c r="D58" s="64" t="str">
        <f t="shared" ca="1" si="2"/>
        <v/>
      </c>
      <c r="E58" s="66">
        <f t="shared" si="4"/>
        <v>0.39583333333333287</v>
      </c>
      <c r="F58" s="66">
        <f ca="1">IF(AND(変更依頼シート!$E$9=参照!$D$2,TIMEVALUE(TEXT(E58,"hh:mm"))&lt;TIMEVALUE("0:00")),"",E58)</f>
        <v>0.39583333333333287</v>
      </c>
      <c r="G58" s="67">
        <f t="shared" ca="1" si="3"/>
        <v>58</v>
      </c>
      <c r="H58" s="68">
        <f t="shared" ca="1" si="9"/>
        <v>0.39583333333333287</v>
      </c>
    </row>
    <row r="59" spans="1:8" x14ac:dyDescent="0.2">
      <c r="A59" s="64">
        <v>59</v>
      </c>
      <c r="B59" s="64" t="str">
        <f t="shared" ca="1" si="6"/>
        <v/>
      </c>
      <c r="C59" s="64" t="str">
        <f t="shared" ca="1" si="1"/>
        <v/>
      </c>
      <c r="D59" s="64" t="str">
        <f t="shared" ca="1" si="2"/>
        <v/>
      </c>
      <c r="E59" s="66">
        <f t="shared" si="4"/>
        <v>0.40277777777777729</v>
      </c>
      <c r="F59" s="66">
        <f ca="1">IF(AND(変更依頼シート!$E$9=参照!$D$2,TIMEVALUE(TEXT(E59,"hh:mm"))&lt;TIMEVALUE("0:00")),"",E59)</f>
        <v>0.40277777777777729</v>
      </c>
      <c r="G59" s="67">
        <f t="shared" ca="1" si="3"/>
        <v>59</v>
      </c>
      <c r="H59" s="68">
        <f t="shared" ca="1" si="9"/>
        <v>0.40277777777777729</v>
      </c>
    </row>
    <row r="60" spans="1:8" x14ac:dyDescent="0.2">
      <c r="A60" s="64">
        <v>60</v>
      </c>
      <c r="B60" s="64" t="str">
        <f t="shared" ca="1" si="6"/>
        <v/>
      </c>
      <c r="C60" s="64" t="str">
        <f t="shared" ca="1" si="1"/>
        <v/>
      </c>
      <c r="D60" s="64" t="str">
        <f t="shared" ca="1" si="2"/>
        <v/>
      </c>
      <c r="E60" s="66">
        <f t="shared" si="4"/>
        <v>0.40972222222222171</v>
      </c>
      <c r="F60" s="66">
        <f ca="1">IF(AND(変更依頼シート!$E$9=参照!$D$2,TIMEVALUE(TEXT(E60,"hh:mm"))&lt;TIMEVALUE("0:00")),"",E60)</f>
        <v>0.40972222222222171</v>
      </c>
      <c r="G60" s="67">
        <f t="shared" ca="1" si="3"/>
        <v>60</v>
      </c>
      <c r="H60" s="68">
        <f t="shared" ca="1" si="9"/>
        <v>0.40972222222222171</v>
      </c>
    </row>
    <row r="61" spans="1:8" x14ac:dyDescent="0.2">
      <c r="A61" s="64">
        <v>61</v>
      </c>
      <c r="B61" s="64" t="str">
        <f t="shared" ca="1" si="6"/>
        <v/>
      </c>
      <c r="C61" s="64" t="str">
        <f t="shared" ca="1" si="1"/>
        <v/>
      </c>
      <c r="D61" s="64" t="str">
        <f t="shared" ca="1" si="2"/>
        <v/>
      </c>
      <c r="E61" s="66">
        <f t="shared" si="4"/>
        <v>0.41666666666666613</v>
      </c>
      <c r="F61" s="66">
        <f ca="1">IF(AND(変更依頼シート!$E$9=参照!$D$2,TIMEVALUE(TEXT(E61,"hh:mm"))&lt;TIMEVALUE("0:00")),"",E61)</f>
        <v>0.41666666666666613</v>
      </c>
      <c r="G61" s="67">
        <f t="shared" ca="1" si="3"/>
        <v>61</v>
      </c>
      <c r="H61" s="68">
        <f t="shared" ca="1" si="9"/>
        <v>0.41666666666666613</v>
      </c>
    </row>
    <row r="62" spans="1:8" x14ac:dyDescent="0.2">
      <c r="A62" s="64">
        <v>62</v>
      </c>
      <c r="B62" s="64" t="str">
        <f t="shared" ca="1" si="6"/>
        <v/>
      </c>
      <c r="C62" s="64" t="str">
        <f t="shared" ca="1" si="1"/>
        <v/>
      </c>
      <c r="D62" s="64" t="str">
        <f t="shared" ca="1" si="2"/>
        <v/>
      </c>
      <c r="E62" s="66">
        <f t="shared" si="4"/>
        <v>0.42361111111111055</v>
      </c>
      <c r="F62" s="66">
        <f ca="1">IF(AND(変更依頼シート!$E$9=参照!$D$2,TIMEVALUE(TEXT(E62,"hh:mm"))&lt;TIMEVALUE("0:00")),"",E62)</f>
        <v>0.42361111111111055</v>
      </c>
      <c r="G62" s="67">
        <f t="shared" ca="1" si="3"/>
        <v>62</v>
      </c>
      <c r="H62" s="68">
        <f t="shared" ca="1" si="9"/>
        <v>0.42361111111111055</v>
      </c>
    </row>
    <row r="63" spans="1:8" x14ac:dyDescent="0.2">
      <c r="A63" s="64">
        <v>63</v>
      </c>
      <c r="B63" s="64" t="str">
        <f t="shared" ca="1" si="6"/>
        <v/>
      </c>
      <c r="C63" s="64" t="str">
        <f t="shared" ca="1" si="1"/>
        <v/>
      </c>
      <c r="D63" s="64" t="str">
        <f t="shared" ca="1" si="2"/>
        <v/>
      </c>
      <c r="E63" s="66">
        <f t="shared" si="4"/>
        <v>0.43055555555555497</v>
      </c>
      <c r="F63" s="66">
        <f ca="1">IF(AND(変更依頼シート!$E$9=参照!$D$2,TIMEVALUE(TEXT(E63,"hh:mm"))&lt;TIMEVALUE("0:00")),"",E63)</f>
        <v>0.43055555555555497</v>
      </c>
      <c r="G63" s="67">
        <f t="shared" ca="1" si="3"/>
        <v>63</v>
      </c>
      <c r="H63" s="68">
        <f t="shared" ca="1" si="9"/>
        <v>0.43055555555555497</v>
      </c>
    </row>
    <row r="64" spans="1:8" x14ac:dyDescent="0.2">
      <c r="E64" s="66">
        <f t="shared" si="4"/>
        <v>0.43749999999999939</v>
      </c>
      <c r="F64" s="66">
        <f ca="1">IF(AND(変更依頼シート!$E$9=参照!$D$2,TIMEVALUE(TEXT(E64,"hh:mm"))&lt;TIMEVALUE("0:00")),"",E64)</f>
        <v>0.43749999999999939</v>
      </c>
      <c r="G64" s="67">
        <f t="shared" ca="1" si="3"/>
        <v>64</v>
      </c>
      <c r="H64" s="68">
        <f t="shared" ca="1" si="9"/>
        <v>0.43749999999999939</v>
      </c>
    </row>
    <row r="65" spans="5:8" x14ac:dyDescent="0.2">
      <c r="E65" s="66">
        <f t="shared" si="4"/>
        <v>0.44444444444444381</v>
      </c>
      <c r="F65" s="66">
        <f ca="1">IF(AND(変更依頼シート!$E$9=参照!$D$2,TIMEVALUE(TEXT(E65,"hh:mm"))&lt;TIMEVALUE("0:00")),"",E65)</f>
        <v>0.44444444444444381</v>
      </c>
      <c r="G65" s="67">
        <f t="shared" ca="1" si="3"/>
        <v>65</v>
      </c>
      <c r="H65" s="68">
        <f t="shared" ref="H65:H96" ca="1" si="11">IFERROR(IF(ROW(F65)&gt;COUNTA($F$1:$F$144),"",INDEX($F$1:$F$144,SMALL($G$1:$G$144,ROW(F65)))),"")</f>
        <v>0.44444444444444381</v>
      </c>
    </row>
    <row r="66" spans="5:8" x14ac:dyDescent="0.2">
      <c r="E66" s="66">
        <f t="shared" si="4"/>
        <v>0.45138888888888823</v>
      </c>
      <c r="F66" s="66">
        <f ca="1">IF(AND(変更依頼シート!$E$9=参照!$D$2,TIMEVALUE(TEXT(E66,"hh:mm"))&lt;TIMEVALUE("0:00")),"",E66)</f>
        <v>0.45138888888888823</v>
      </c>
      <c r="G66" s="67">
        <f t="shared" ref="G66:G129" ca="1" si="12">IF(F66="","",ROW())</f>
        <v>66</v>
      </c>
      <c r="H66" s="68">
        <f t="shared" ca="1" si="11"/>
        <v>0.45138888888888823</v>
      </c>
    </row>
    <row r="67" spans="5:8" x14ac:dyDescent="0.2">
      <c r="E67" s="66">
        <f t="shared" ref="E67:E130" si="13">E66+TIMEVALUE("0:10")</f>
        <v>0.45833333333333265</v>
      </c>
      <c r="F67" s="66">
        <f ca="1">IF(AND(変更依頼シート!$E$9=参照!$D$2,TIMEVALUE(TEXT(E67,"hh:mm"))&lt;TIMEVALUE("0:00")),"",E67)</f>
        <v>0.45833333333333265</v>
      </c>
      <c r="G67" s="67">
        <f t="shared" ca="1" si="12"/>
        <v>67</v>
      </c>
      <c r="H67" s="68">
        <f t="shared" ca="1" si="11"/>
        <v>0.45833333333333265</v>
      </c>
    </row>
    <row r="68" spans="5:8" x14ac:dyDescent="0.2">
      <c r="E68" s="66">
        <f t="shared" si="13"/>
        <v>0.46527777777777707</v>
      </c>
      <c r="F68" s="66">
        <f ca="1">IF(AND(変更依頼シート!$E$9=参照!$D$2,TIMEVALUE(TEXT(E68,"hh:mm"))&lt;TIMEVALUE("0:00")),"",E68)</f>
        <v>0.46527777777777707</v>
      </c>
      <c r="G68" s="67">
        <f t="shared" ca="1" si="12"/>
        <v>68</v>
      </c>
      <c r="H68" s="68">
        <f t="shared" ca="1" si="11"/>
        <v>0.46527777777777707</v>
      </c>
    </row>
    <row r="69" spans="5:8" x14ac:dyDescent="0.2">
      <c r="E69" s="66">
        <f t="shared" si="13"/>
        <v>0.47222222222222149</v>
      </c>
      <c r="F69" s="66">
        <f ca="1">IF(AND(変更依頼シート!$E$9=参照!$D$2,TIMEVALUE(TEXT(E69,"hh:mm"))&lt;TIMEVALUE("0:00")),"",E69)</f>
        <v>0.47222222222222149</v>
      </c>
      <c r="G69" s="67">
        <f t="shared" ca="1" si="12"/>
        <v>69</v>
      </c>
      <c r="H69" s="68">
        <f t="shared" ca="1" si="11"/>
        <v>0.47222222222222149</v>
      </c>
    </row>
    <row r="70" spans="5:8" x14ac:dyDescent="0.2">
      <c r="E70" s="66">
        <f t="shared" si="13"/>
        <v>0.47916666666666591</v>
      </c>
      <c r="F70" s="66">
        <f ca="1">IF(AND(変更依頼シート!$E$9=参照!$D$2,TIMEVALUE(TEXT(E70,"hh:mm"))&lt;TIMEVALUE("0:00")),"",E70)</f>
        <v>0.47916666666666591</v>
      </c>
      <c r="G70" s="67">
        <f t="shared" ca="1" si="12"/>
        <v>70</v>
      </c>
      <c r="H70" s="68">
        <f t="shared" ca="1" si="11"/>
        <v>0.47916666666666591</v>
      </c>
    </row>
    <row r="71" spans="5:8" x14ac:dyDescent="0.2">
      <c r="E71" s="66">
        <f t="shared" si="13"/>
        <v>0.48611111111111033</v>
      </c>
      <c r="F71" s="66">
        <f ca="1">IF(AND(変更依頼シート!$E$9=参照!$D$2,TIMEVALUE(TEXT(E71,"hh:mm"))&lt;TIMEVALUE("0:00")),"",E71)</f>
        <v>0.48611111111111033</v>
      </c>
      <c r="G71" s="67">
        <f t="shared" ca="1" si="12"/>
        <v>71</v>
      </c>
      <c r="H71" s="68">
        <f t="shared" ca="1" si="11"/>
        <v>0.48611111111111033</v>
      </c>
    </row>
    <row r="72" spans="5:8" x14ac:dyDescent="0.2">
      <c r="E72" s="66">
        <f t="shared" si="13"/>
        <v>0.49305555555555475</v>
      </c>
      <c r="F72" s="66">
        <f ca="1">IF(AND(変更依頼シート!$E$9=参照!$D$2,TIMEVALUE(TEXT(E72,"hh:mm"))&lt;TIMEVALUE("0:00")),"",E72)</f>
        <v>0.49305555555555475</v>
      </c>
      <c r="G72" s="67">
        <f t="shared" ca="1" si="12"/>
        <v>72</v>
      </c>
      <c r="H72" s="68">
        <f t="shared" ca="1" si="11"/>
        <v>0.49305555555555475</v>
      </c>
    </row>
    <row r="73" spans="5:8" x14ac:dyDescent="0.2">
      <c r="E73" s="66">
        <f t="shared" si="13"/>
        <v>0.49999999999999917</v>
      </c>
      <c r="F73" s="66">
        <f ca="1">IF(AND(変更依頼シート!$E$9=参照!$D$2,TIMEVALUE(TEXT(E73,"hh:mm"))&lt;TIMEVALUE("0:00")),"",E73)</f>
        <v>0.49999999999999917</v>
      </c>
      <c r="G73" s="67">
        <f t="shared" ca="1" si="12"/>
        <v>73</v>
      </c>
      <c r="H73" s="68">
        <f t="shared" ca="1" si="11"/>
        <v>0.49999999999999917</v>
      </c>
    </row>
    <row r="74" spans="5:8" x14ac:dyDescent="0.2">
      <c r="E74" s="66">
        <f t="shared" si="13"/>
        <v>0.50694444444444364</v>
      </c>
      <c r="F74" s="66">
        <f ca="1">IF(AND(変更依頼シート!$E$9=参照!$D$2,TIMEVALUE(TEXT(E74,"hh:mm"))&lt;TIMEVALUE("0:00")),"",E74)</f>
        <v>0.50694444444444364</v>
      </c>
      <c r="G74" s="67">
        <f t="shared" ca="1" si="12"/>
        <v>74</v>
      </c>
      <c r="H74" s="68">
        <f t="shared" ca="1" si="11"/>
        <v>0.50694444444444364</v>
      </c>
    </row>
    <row r="75" spans="5:8" x14ac:dyDescent="0.2">
      <c r="E75" s="66">
        <f t="shared" si="13"/>
        <v>0.51388888888888806</v>
      </c>
      <c r="F75" s="66">
        <f ca="1">IF(AND(変更依頼シート!$E$9=参照!$D$2,TIMEVALUE(TEXT(E75,"hh:mm"))&lt;TIMEVALUE("0:00")),"",E75)</f>
        <v>0.51388888888888806</v>
      </c>
      <c r="G75" s="67">
        <f t="shared" ca="1" si="12"/>
        <v>75</v>
      </c>
      <c r="H75" s="68">
        <f t="shared" ca="1" si="11"/>
        <v>0.51388888888888806</v>
      </c>
    </row>
    <row r="76" spans="5:8" x14ac:dyDescent="0.2">
      <c r="E76" s="66">
        <f t="shared" si="13"/>
        <v>0.52083333333333248</v>
      </c>
      <c r="F76" s="66">
        <f ca="1">IF(AND(変更依頼シート!$E$9=参照!$D$2,TIMEVALUE(TEXT(E76,"hh:mm"))&lt;TIMEVALUE("0:00")),"",E76)</f>
        <v>0.52083333333333248</v>
      </c>
      <c r="G76" s="67">
        <f t="shared" ca="1" si="12"/>
        <v>76</v>
      </c>
      <c r="H76" s="68">
        <f t="shared" ca="1" si="11"/>
        <v>0.52083333333333248</v>
      </c>
    </row>
    <row r="77" spans="5:8" x14ac:dyDescent="0.2">
      <c r="E77" s="66">
        <f t="shared" si="13"/>
        <v>0.5277777777777769</v>
      </c>
      <c r="F77" s="66">
        <f ca="1">IF(AND(変更依頼シート!$E$9=参照!$D$2,TIMEVALUE(TEXT(E77,"hh:mm"))&lt;TIMEVALUE("0:00")),"",E77)</f>
        <v>0.5277777777777769</v>
      </c>
      <c r="G77" s="67">
        <f t="shared" ca="1" si="12"/>
        <v>77</v>
      </c>
      <c r="H77" s="68">
        <f t="shared" ca="1" si="11"/>
        <v>0.5277777777777769</v>
      </c>
    </row>
    <row r="78" spans="5:8" x14ac:dyDescent="0.2">
      <c r="E78" s="66">
        <f t="shared" si="13"/>
        <v>0.53472222222222132</v>
      </c>
      <c r="F78" s="66">
        <f ca="1">IF(AND(変更依頼シート!$E$9=参照!$D$2,TIMEVALUE(TEXT(E78,"hh:mm"))&lt;TIMEVALUE("0:00")),"",E78)</f>
        <v>0.53472222222222132</v>
      </c>
      <c r="G78" s="67">
        <f t="shared" ca="1" si="12"/>
        <v>78</v>
      </c>
      <c r="H78" s="68">
        <f t="shared" ca="1" si="11"/>
        <v>0.53472222222222132</v>
      </c>
    </row>
    <row r="79" spans="5:8" x14ac:dyDescent="0.2">
      <c r="E79" s="66">
        <f t="shared" si="13"/>
        <v>0.54166666666666574</v>
      </c>
      <c r="F79" s="66">
        <f ca="1">IF(AND(変更依頼シート!$E$9=参照!$D$2,TIMEVALUE(TEXT(E79,"hh:mm"))&lt;TIMEVALUE("0:00")),"",E79)</f>
        <v>0.54166666666666574</v>
      </c>
      <c r="G79" s="67">
        <f t="shared" ca="1" si="12"/>
        <v>79</v>
      </c>
      <c r="H79" s="68">
        <f t="shared" ca="1" si="11"/>
        <v>0.54166666666666574</v>
      </c>
    </row>
    <row r="80" spans="5:8" x14ac:dyDescent="0.2">
      <c r="E80" s="66">
        <f t="shared" si="13"/>
        <v>0.54861111111111016</v>
      </c>
      <c r="F80" s="66">
        <f ca="1">IF(AND(変更依頼シート!$E$9=参照!$D$2,TIMEVALUE(TEXT(E80,"hh:mm"))&lt;TIMEVALUE("0:00")),"",E80)</f>
        <v>0.54861111111111016</v>
      </c>
      <c r="G80" s="67">
        <f t="shared" ca="1" si="12"/>
        <v>80</v>
      </c>
      <c r="H80" s="68">
        <f t="shared" ca="1" si="11"/>
        <v>0.54861111111111016</v>
      </c>
    </row>
    <row r="81" spans="5:8" x14ac:dyDescent="0.2">
      <c r="E81" s="66">
        <f t="shared" si="13"/>
        <v>0.55555555555555458</v>
      </c>
      <c r="F81" s="66">
        <f ca="1">IF(AND(変更依頼シート!$E$9=参照!$D$2,TIMEVALUE(TEXT(E81,"hh:mm"))&lt;TIMEVALUE("0:00")),"",E81)</f>
        <v>0.55555555555555458</v>
      </c>
      <c r="G81" s="67">
        <f t="shared" ca="1" si="12"/>
        <v>81</v>
      </c>
      <c r="H81" s="68">
        <f t="shared" ca="1" si="11"/>
        <v>0.55555555555555458</v>
      </c>
    </row>
    <row r="82" spans="5:8" x14ac:dyDescent="0.2">
      <c r="E82" s="66">
        <f t="shared" si="13"/>
        <v>0.562499999999999</v>
      </c>
      <c r="F82" s="66">
        <f ca="1">IF(AND(変更依頼シート!$E$9=参照!$D$2,TIMEVALUE(TEXT(E82,"hh:mm"))&lt;TIMEVALUE("0:00")),"",E82)</f>
        <v>0.562499999999999</v>
      </c>
      <c r="G82" s="67">
        <f t="shared" ca="1" si="12"/>
        <v>82</v>
      </c>
      <c r="H82" s="68">
        <f t="shared" ca="1" si="11"/>
        <v>0.562499999999999</v>
      </c>
    </row>
    <row r="83" spans="5:8" x14ac:dyDescent="0.2">
      <c r="E83" s="66">
        <f t="shared" si="13"/>
        <v>0.56944444444444342</v>
      </c>
      <c r="F83" s="66">
        <f ca="1">IF(AND(変更依頼シート!$E$9=参照!$D$2,TIMEVALUE(TEXT(E83,"hh:mm"))&lt;TIMEVALUE("0:00")),"",E83)</f>
        <v>0.56944444444444342</v>
      </c>
      <c r="G83" s="67">
        <f t="shared" ca="1" si="12"/>
        <v>83</v>
      </c>
      <c r="H83" s="68">
        <f t="shared" ca="1" si="11"/>
        <v>0.56944444444444342</v>
      </c>
    </row>
    <row r="84" spans="5:8" x14ac:dyDescent="0.2">
      <c r="E84" s="66">
        <f t="shared" si="13"/>
        <v>0.57638888888888784</v>
      </c>
      <c r="F84" s="66">
        <f ca="1">IF(AND(変更依頼シート!$E$9=参照!$D$2,TIMEVALUE(TEXT(E84,"hh:mm"))&lt;TIMEVALUE("0:00")),"",E84)</f>
        <v>0.57638888888888784</v>
      </c>
      <c r="G84" s="67">
        <f t="shared" ca="1" si="12"/>
        <v>84</v>
      </c>
      <c r="H84" s="68">
        <f t="shared" ca="1" si="11"/>
        <v>0.57638888888888784</v>
      </c>
    </row>
    <row r="85" spans="5:8" x14ac:dyDescent="0.2">
      <c r="E85" s="66">
        <f t="shared" si="13"/>
        <v>0.58333333333333226</v>
      </c>
      <c r="F85" s="66">
        <f ca="1">IF(AND(変更依頼シート!$E$9=参照!$D$2,TIMEVALUE(TEXT(E85,"hh:mm"))&lt;TIMEVALUE("0:00")),"",E85)</f>
        <v>0.58333333333333226</v>
      </c>
      <c r="G85" s="67">
        <f t="shared" ca="1" si="12"/>
        <v>85</v>
      </c>
      <c r="H85" s="68">
        <f t="shared" ca="1" si="11"/>
        <v>0.58333333333333226</v>
      </c>
    </row>
    <row r="86" spans="5:8" x14ac:dyDescent="0.2">
      <c r="E86" s="66">
        <f t="shared" si="13"/>
        <v>0.59027777777777668</v>
      </c>
      <c r="F86" s="66">
        <f ca="1">IF(AND(変更依頼シート!$E$9=参照!$D$2,TIMEVALUE(TEXT(E86,"hh:mm"))&lt;TIMEVALUE("0:00")),"",E86)</f>
        <v>0.59027777777777668</v>
      </c>
      <c r="G86" s="67">
        <f t="shared" ca="1" si="12"/>
        <v>86</v>
      </c>
      <c r="H86" s="68">
        <f t="shared" ca="1" si="11"/>
        <v>0.59027777777777668</v>
      </c>
    </row>
    <row r="87" spans="5:8" x14ac:dyDescent="0.2">
      <c r="E87" s="66">
        <f t="shared" si="13"/>
        <v>0.5972222222222211</v>
      </c>
      <c r="F87" s="66">
        <f ca="1">IF(AND(変更依頼シート!$E$9=参照!$D$2,TIMEVALUE(TEXT(E87,"hh:mm"))&lt;TIMEVALUE("0:00")),"",E87)</f>
        <v>0.5972222222222211</v>
      </c>
      <c r="G87" s="67">
        <f t="shared" ca="1" si="12"/>
        <v>87</v>
      </c>
      <c r="H87" s="68">
        <f t="shared" ca="1" si="11"/>
        <v>0.5972222222222211</v>
      </c>
    </row>
    <row r="88" spans="5:8" x14ac:dyDescent="0.2">
      <c r="E88" s="66">
        <f t="shared" si="13"/>
        <v>0.60416666666666552</v>
      </c>
      <c r="F88" s="66">
        <f ca="1">IF(AND(変更依頼シート!$E$9=参照!$D$2,TIMEVALUE(TEXT(E88,"hh:mm"))&lt;TIMEVALUE("0:00")),"",E88)</f>
        <v>0.60416666666666552</v>
      </c>
      <c r="G88" s="67">
        <f t="shared" ca="1" si="12"/>
        <v>88</v>
      </c>
      <c r="H88" s="68">
        <f t="shared" ca="1" si="11"/>
        <v>0.60416666666666552</v>
      </c>
    </row>
    <row r="89" spans="5:8" x14ac:dyDescent="0.2">
      <c r="E89" s="66">
        <f t="shared" si="13"/>
        <v>0.61111111111110994</v>
      </c>
      <c r="F89" s="66">
        <f ca="1">IF(AND(変更依頼シート!$E$9=参照!$D$2,TIMEVALUE(TEXT(E89,"hh:mm"))&lt;TIMEVALUE("0:00")),"",E89)</f>
        <v>0.61111111111110994</v>
      </c>
      <c r="G89" s="67">
        <f t="shared" ca="1" si="12"/>
        <v>89</v>
      </c>
      <c r="H89" s="68">
        <f t="shared" ca="1" si="11"/>
        <v>0.61111111111110994</v>
      </c>
    </row>
    <row r="90" spans="5:8" x14ac:dyDescent="0.2">
      <c r="E90" s="66">
        <f t="shared" si="13"/>
        <v>0.61805555555555436</v>
      </c>
      <c r="F90" s="66">
        <f ca="1">IF(AND(変更依頼シート!$E$9=参照!$D$2,TIMEVALUE(TEXT(E90,"hh:mm"))&lt;TIMEVALUE("0:00")),"",E90)</f>
        <v>0.61805555555555436</v>
      </c>
      <c r="G90" s="67">
        <f t="shared" ca="1" si="12"/>
        <v>90</v>
      </c>
      <c r="H90" s="68">
        <f t="shared" ca="1" si="11"/>
        <v>0.61805555555555436</v>
      </c>
    </row>
    <row r="91" spans="5:8" x14ac:dyDescent="0.2">
      <c r="E91" s="66">
        <f t="shared" si="13"/>
        <v>0.62499999999999878</v>
      </c>
      <c r="F91" s="66">
        <f ca="1">IF(AND(変更依頼シート!$E$9=参照!$D$2,TIMEVALUE(TEXT(E91,"hh:mm"))&lt;TIMEVALUE("0:00")),"",E91)</f>
        <v>0.62499999999999878</v>
      </c>
      <c r="G91" s="67">
        <f t="shared" ca="1" si="12"/>
        <v>91</v>
      </c>
      <c r="H91" s="68">
        <f t="shared" ca="1" si="11"/>
        <v>0.62499999999999878</v>
      </c>
    </row>
    <row r="92" spans="5:8" x14ac:dyDescent="0.2">
      <c r="E92" s="66">
        <f t="shared" si="13"/>
        <v>0.6319444444444432</v>
      </c>
      <c r="F92" s="66">
        <f ca="1">IF(AND(変更依頼シート!$E$9=参照!$D$2,TIMEVALUE(TEXT(E92,"hh:mm"))&lt;TIMEVALUE("0:00")),"",E92)</f>
        <v>0.6319444444444432</v>
      </c>
      <c r="G92" s="67">
        <f t="shared" ca="1" si="12"/>
        <v>92</v>
      </c>
      <c r="H92" s="68">
        <f t="shared" ca="1" si="11"/>
        <v>0.6319444444444432</v>
      </c>
    </row>
    <row r="93" spans="5:8" x14ac:dyDescent="0.2">
      <c r="E93" s="66">
        <f t="shared" si="13"/>
        <v>0.63888888888888762</v>
      </c>
      <c r="F93" s="66">
        <f ca="1">IF(AND(変更依頼シート!$E$9=参照!$D$2,TIMEVALUE(TEXT(E93,"hh:mm"))&lt;TIMEVALUE("0:00")),"",E93)</f>
        <v>0.63888888888888762</v>
      </c>
      <c r="G93" s="67">
        <f t="shared" ca="1" si="12"/>
        <v>93</v>
      </c>
      <c r="H93" s="68">
        <f t="shared" ca="1" si="11"/>
        <v>0.63888888888888762</v>
      </c>
    </row>
    <row r="94" spans="5:8" x14ac:dyDescent="0.2">
      <c r="E94" s="66">
        <f t="shared" si="13"/>
        <v>0.64583333333333204</v>
      </c>
      <c r="F94" s="66">
        <f ca="1">IF(AND(変更依頼シート!$E$9=参照!$D$2,TIMEVALUE(TEXT(E94,"hh:mm"))&lt;TIMEVALUE("0:00")),"",E94)</f>
        <v>0.64583333333333204</v>
      </c>
      <c r="G94" s="67">
        <f t="shared" ca="1" si="12"/>
        <v>94</v>
      </c>
      <c r="H94" s="68">
        <f t="shared" ca="1" si="11"/>
        <v>0.64583333333333204</v>
      </c>
    </row>
    <row r="95" spans="5:8" x14ac:dyDescent="0.2">
      <c r="E95" s="66">
        <f t="shared" si="13"/>
        <v>0.65277777777777646</v>
      </c>
      <c r="F95" s="66">
        <f ca="1">IF(AND(変更依頼シート!$E$9=参照!$D$2,TIMEVALUE(TEXT(E95,"hh:mm"))&lt;TIMEVALUE("0:00")),"",E95)</f>
        <v>0.65277777777777646</v>
      </c>
      <c r="G95" s="67">
        <f t="shared" ca="1" si="12"/>
        <v>95</v>
      </c>
      <c r="H95" s="68">
        <f t="shared" ca="1" si="11"/>
        <v>0.65277777777777646</v>
      </c>
    </row>
    <row r="96" spans="5:8" x14ac:dyDescent="0.2">
      <c r="E96" s="66">
        <f t="shared" si="13"/>
        <v>0.65972222222222088</v>
      </c>
      <c r="F96" s="66">
        <f ca="1">IF(AND(変更依頼シート!$E$9=参照!$D$2,TIMEVALUE(TEXT(E96,"hh:mm"))&lt;TIMEVALUE("0:00")),"",E96)</f>
        <v>0.65972222222222088</v>
      </c>
      <c r="G96" s="67">
        <f t="shared" ca="1" si="12"/>
        <v>96</v>
      </c>
      <c r="H96" s="68">
        <f t="shared" ca="1" si="11"/>
        <v>0.65972222222222088</v>
      </c>
    </row>
    <row r="97" spans="5:8" x14ac:dyDescent="0.2">
      <c r="E97" s="66">
        <f t="shared" si="13"/>
        <v>0.6666666666666653</v>
      </c>
      <c r="F97" s="66">
        <f ca="1">IF(AND(変更依頼シート!$E$9=参照!$D$2,TIMEVALUE(TEXT(E97,"hh:mm"))&lt;TIMEVALUE("0:00")),"",E97)</f>
        <v>0.6666666666666653</v>
      </c>
      <c r="G97" s="67">
        <f t="shared" ca="1" si="12"/>
        <v>97</v>
      </c>
      <c r="H97" s="68">
        <f t="shared" ref="H97:H128" ca="1" si="14">IFERROR(IF(ROW(F97)&gt;COUNTA($F$1:$F$144),"",INDEX($F$1:$F$144,SMALL($G$1:$G$144,ROW(F97)))),"")</f>
        <v>0.6666666666666653</v>
      </c>
    </row>
    <row r="98" spans="5:8" x14ac:dyDescent="0.2">
      <c r="E98" s="66">
        <f t="shared" si="13"/>
        <v>0.67361111111110972</v>
      </c>
      <c r="F98" s="66">
        <f ca="1">IF(AND(変更依頼シート!$E$9=参照!$D$2,TIMEVALUE(TEXT(E98,"hh:mm"))&lt;TIMEVALUE("0:00")),"",E98)</f>
        <v>0.67361111111110972</v>
      </c>
      <c r="G98" s="67">
        <f t="shared" ca="1" si="12"/>
        <v>98</v>
      </c>
      <c r="H98" s="68">
        <f t="shared" ca="1" si="14"/>
        <v>0.67361111111110972</v>
      </c>
    </row>
    <row r="99" spans="5:8" x14ac:dyDescent="0.2">
      <c r="E99" s="66">
        <f t="shared" si="13"/>
        <v>0.68055555555555414</v>
      </c>
      <c r="F99" s="66">
        <f ca="1">IF(AND(変更依頼シート!$E$9=参照!$D$2,TIMEVALUE(TEXT(E99,"hh:mm"))&lt;TIMEVALUE("0:00")),"",E99)</f>
        <v>0.68055555555555414</v>
      </c>
      <c r="G99" s="67">
        <f t="shared" ca="1" si="12"/>
        <v>99</v>
      </c>
      <c r="H99" s="68">
        <f t="shared" ca="1" si="14"/>
        <v>0.68055555555555414</v>
      </c>
    </row>
    <row r="100" spans="5:8" x14ac:dyDescent="0.2">
      <c r="E100" s="66">
        <f t="shared" si="13"/>
        <v>0.68749999999999856</v>
      </c>
      <c r="F100" s="66">
        <f ca="1">IF(AND(変更依頼シート!$E$9=参照!$D$2,TIMEVALUE(TEXT(E100,"hh:mm"))&lt;TIMEVALUE("0:00")),"",E100)</f>
        <v>0.68749999999999856</v>
      </c>
      <c r="G100" s="67">
        <f t="shared" ca="1" si="12"/>
        <v>100</v>
      </c>
      <c r="H100" s="68">
        <f t="shared" ca="1" si="14"/>
        <v>0.68749999999999856</v>
      </c>
    </row>
    <row r="101" spans="5:8" x14ac:dyDescent="0.2">
      <c r="E101" s="66">
        <f t="shared" si="13"/>
        <v>0.69444444444444298</v>
      </c>
      <c r="F101" s="66">
        <f ca="1">IF(AND(変更依頼シート!$E$9=参照!$D$2,TIMEVALUE(TEXT(E101,"hh:mm"))&lt;TIMEVALUE("0:00")),"",E101)</f>
        <v>0.69444444444444298</v>
      </c>
      <c r="G101" s="67">
        <f t="shared" ca="1" si="12"/>
        <v>101</v>
      </c>
      <c r="H101" s="68">
        <f t="shared" ca="1" si="14"/>
        <v>0.69444444444444298</v>
      </c>
    </row>
    <row r="102" spans="5:8" x14ac:dyDescent="0.2">
      <c r="E102" s="66">
        <f t="shared" si="13"/>
        <v>0.7013888888888874</v>
      </c>
      <c r="F102" s="66">
        <f ca="1">IF(AND(変更依頼シート!$E$9=参照!$D$2,TIMEVALUE(TEXT(E102,"hh:mm"))&lt;TIMEVALUE("0:00")),"",E102)</f>
        <v>0.7013888888888874</v>
      </c>
      <c r="G102" s="67">
        <f t="shared" ca="1" si="12"/>
        <v>102</v>
      </c>
      <c r="H102" s="68">
        <f t="shared" ca="1" si="14"/>
        <v>0.7013888888888874</v>
      </c>
    </row>
    <row r="103" spans="5:8" x14ac:dyDescent="0.2">
      <c r="E103" s="66">
        <f t="shared" si="13"/>
        <v>0.70833333333333182</v>
      </c>
      <c r="F103" s="66">
        <f ca="1">IF(AND(変更依頼シート!$E$9=参照!$D$2,TIMEVALUE(TEXT(E103,"hh:mm"))&lt;TIMEVALUE("0:00")),"",E103)</f>
        <v>0.70833333333333182</v>
      </c>
      <c r="G103" s="67">
        <f t="shared" ca="1" si="12"/>
        <v>103</v>
      </c>
      <c r="H103" s="68">
        <f t="shared" ca="1" si="14"/>
        <v>0.70833333333333182</v>
      </c>
    </row>
    <row r="104" spans="5:8" x14ac:dyDescent="0.2">
      <c r="E104" s="66">
        <f t="shared" si="13"/>
        <v>0.71527777777777624</v>
      </c>
      <c r="F104" s="66">
        <f ca="1">IF(AND(変更依頼シート!$E$9=参照!$D$2,TIMEVALUE(TEXT(E104,"hh:mm"))&lt;TIMEVALUE("0:00")),"",E104)</f>
        <v>0.71527777777777624</v>
      </c>
      <c r="G104" s="67">
        <f t="shared" ca="1" si="12"/>
        <v>104</v>
      </c>
      <c r="H104" s="68">
        <f t="shared" ca="1" si="14"/>
        <v>0.71527777777777624</v>
      </c>
    </row>
    <row r="105" spans="5:8" x14ac:dyDescent="0.2">
      <c r="E105" s="66">
        <f t="shared" si="13"/>
        <v>0.72222222222222066</v>
      </c>
      <c r="F105" s="66">
        <f ca="1">IF(AND(変更依頼シート!$E$9=参照!$D$2,TIMEVALUE(TEXT(E105,"hh:mm"))&lt;TIMEVALUE("0:00")),"",E105)</f>
        <v>0.72222222222222066</v>
      </c>
      <c r="G105" s="67">
        <f t="shared" ca="1" si="12"/>
        <v>105</v>
      </c>
      <c r="H105" s="68">
        <f t="shared" ca="1" si="14"/>
        <v>0.72222222222222066</v>
      </c>
    </row>
    <row r="106" spans="5:8" x14ac:dyDescent="0.2">
      <c r="E106" s="66">
        <f t="shared" si="13"/>
        <v>0.72916666666666508</v>
      </c>
      <c r="F106" s="66">
        <f ca="1">IF(AND(変更依頼シート!$E$9=参照!$D$2,TIMEVALUE(TEXT(E106,"hh:mm"))&lt;TIMEVALUE("0:00")),"",E106)</f>
        <v>0.72916666666666508</v>
      </c>
      <c r="G106" s="67">
        <f t="shared" ca="1" si="12"/>
        <v>106</v>
      </c>
      <c r="H106" s="68">
        <f t="shared" ca="1" si="14"/>
        <v>0.72916666666666508</v>
      </c>
    </row>
    <row r="107" spans="5:8" x14ac:dyDescent="0.2">
      <c r="E107" s="66">
        <f t="shared" si="13"/>
        <v>0.7361111111111095</v>
      </c>
      <c r="F107" s="66">
        <f ca="1">IF(AND(変更依頼シート!$E$9=参照!$D$2,TIMEVALUE(TEXT(E107,"hh:mm"))&lt;TIMEVALUE("0:00")),"",E107)</f>
        <v>0.7361111111111095</v>
      </c>
      <c r="G107" s="67">
        <f t="shared" ca="1" si="12"/>
        <v>107</v>
      </c>
      <c r="H107" s="68">
        <f t="shared" ca="1" si="14"/>
        <v>0.7361111111111095</v>
      </c>
    </row>
    <row r="108" spans="5:8" x14ac:dyDescent="0.2">
      <c r="E108" s="66">
        <f t="shared" si="13"/>
        <v>0.74305555555555391</v>
      </c>
      <c r="F108" s="66">
        <f ca="1">IF(AND(変更依頼シート!$E$9=参照!$D$2,TIMEVALUE(TEXT(E108,"hh:mm"))&lt;TIMEVALUE("0:00")),"",E108)</f>
        <v>0.74305555555555391</v>
      </c>
      <c r="G108" s="67">
        <f t="shared" ca="1" si="12"/>
        <v>108</v>
      </c>
      <c r="H108" s="68">
        <f t="shared" ca="1" si="14"/>
        <v>0.74305555555555391</v>
      </c>
    </row>
    <row r="109" spans="5:8" x14ac:dyDescent="0.2">
      <c r="E109" s="66">
        <f t="shared" si="13"/>
        <v>0.74999999999999833</v>
      </c>
      <c r="F109" s="66">
        <f ca="1">IF(AND(変更依頼シート!$E$9=参照!$D$2,TIMEVALUE(TEXT(E109,"hh:mm"))&lt;TIMEVALUE("0:00")),"",E109)</f>
        <v>0.74999999999999833</v>
      </c>
      <c r="G109" s="67">
        <f t="shared" ca="1" si="12"/>
        <v>109</v>
      </c>
      <c r="H109" s="68">
        <f t="shared" ca="1" si="14"/>
        <v>0.74999999999999833</v>
      </c>
    </row>
    <row r="110" spans="5:8" x14ac:dyDescent="0.2">
      <c r="E110" s="66">
        <f t="shared" si="13"/>
        <v>0.75694444444444275</v>
      </c>
      <c r="F110" s="66">
        <f ca="1">IF(AND(変更依頼シート!$E$9=参照!$D$2,TIMEVALUE(TEXT(E110,"hh:mm"))&lt;TIMEVALUE("0:00")),"",E110)</f>
        <v>0.75694444444444275</v>
      </c>
      <c r="G110" s="67">
        <f t="shared" ca="1" si="12"/>
        <v>110</v>
      </c>
      <c r="H110" s="68">
        <f t="shared" ca="1" si="14"/>
        <v>0.75694444444444275</v>
      </c>
    </row>
    <row r="111" spans="5:8" x14ac:dyDescent="0.2">
      <c r="E111" s="66">
        <f t="shared" si="13"/>
        <v>0.76388888888888717</v>
      </c>
      <c r="F111" s="66">
        <f ca="1">IF(AND(変更依頼シート!$E$9=参照!$D$2,TIMEVALUE(TEXT(E111,"hh:mm"))&lt;TIMEVALUE("0:00")),"",E111)</f>
        <v>0.76388888888888717</v>
      </c>
      <c r="G111" s="67">
        <f t="shared" ca="1" si="12"/>
        <v>111</v>
      </c>
      <c r="H111" s="68">
        <f t="shared" ca="1" si="14"/>
        <v>0.76388888888888717</v>
      </c>
    </row>
    <row r="112" spans="5:8" x14ac:dyDescent="0.2">
      <c r="E112" s="66">
        <f t="shared" si="13"/>
        <v>0.77083333333333159</v>
      </c>
      <c r="F112" s="66">
        <f ca="1">IF(AND(変更依頼シート!$E$9=参照!$D$2,TIMEVALUE(TEXT(E112,"hh:mm"))&lt;TIMEVALUE("0:00")),"",E112)</f>
        <v>0.77083333333333159</v>
      </c>
      <c r="G112" s="67">
        <f t="shared" ca="1" si="12"/>
        <v>112</v>
      </c>
      <c r="H112" s="68">
        <f t="shared" ca="1" si="14"/>
        <v>0.77083333333333159</v>
      </c>
    </row>
    <row r="113" spans="5:8" x14ac:dyDescent="0.2">
      <c r="E113" s="66">
        <f t="shared" si="13"/>
        <v>0.77777777777777601</v>
      </c>
      <c r="F113" s="66">
        <f ca="1">IF(AND(変更依頼シート!$E$9=参照!$D$2,TIMEVALUE(TEXT(E113,"hh:mm"))&lt;TIMEVALUE("0:00")),"",E113)</f>
        <v>0.77777777777777601</v>
      </c>
      <c r="G113" s="67">
        <f t="shared" ca="1" si="12"/>
        <v>113</v>
      </c>
      <c r="H113" s="68">
        <f t="shared" ca="1" si="14"/>
        <v>0.77777777777777601</v>
      </c>
    </row>
    <row r="114" spans="5:8" x14ac:dyDescent="0.2">
      <c r="E114" s="66">
        <f t="shared" si="13"/>
        <v>0.78472222222222043</v>
      </c>
      <c r="F114" s="66">
        <f ca="1">IF(AND(変更依頼シート!$E$9=参照!$D$2,TIMEVALUE(TEXT(E114,"hh:mm"))&lt;TIMEVALUE("0:00")),"",E114)</f>
        <v>0.78472222222222043</v>
      </c>
      <c r="G114" s="67">
        <f t="shared" ca="1" si="12"/>
        <v>114</v>
      </c>
      <c r="H114" s="68">
        <f t="shared" ca="1" si="14"/>
        <v>0.78472222222222043</v>
      </c>
    </row>
    <row r="115" spans="5:8" x14ac:dyDescent="0.2">
      <c r="E115" s="66">
        <f t="shared" si="13"/>
        <v>0.79166666666666485</v>
      </c>
      <c r="F115" s="66">
        <f ca="1">IF(AND(変更依頼シート!$E$9=参照!$D$2,TIMEVALUE(TEXT(E115,"hh:mm"))&lt;TIMEVALUE("0:00")),"",E115)</f>
        <v>0.79166666666666485</v>
      </c>
      <c r="G115" s="67">
        <f t="shared" ca="1" si="12"/>
        <v>115</v>
      </c>
      <c r="H115" s="68">
        <f t="shared" ca="1" si="14"/>
        <v>0.79166666666666485</v>
      </c>
    </row>
    <row r="116" spans="5:8" x14ac:dyDescent="0.2">
      <c r="E116" s="66">
        <f t="shared" si="13"/>
        <v>0.79861111111110927</v>
      </c>
      <c r="F116" s="66">
        <f ca="1">IF(AND(変更依頼シート!$E$9=参照!$D$2,TIMEVALUE(TEXT(E116,"hh:mm"))&lt;TIMEVALUE("0:00")),"",E116)</f>
        <v>0.79861111111110927</v>
      </c>
      <c r="G116" s="67">
        <f t="shared" ca="1" si="12"/>
        <v>116</v>
      </c>
      <c r="H116" s="68">
        <f t="shared" ca="1" si="14"/>
        <v>0.79861111111110927</v>
      </c>
    </row>
    <row r="117" spans="5:8" x14ac:dyDescent="0.2">
      <c r="E117" s="66">
        <f t="shared" si="13"/>
        <v>0.80555555555555369</v>
      </c>
      <c r="F117" s="66">
        <f ca="1">IF(AND(変更依頼シート!$E$9=参照!$D$2,TIMEVALUE(TEXT(E117,"hh:mm"))&lt;TIMEVALUE("0:00")),"",E117)</f>
        <v>0.80555555555555369</v>
      </c>
      <c r="G117" s="67">
        <f t="shared" ca="1" si="12"/>
        <v>117</v>
      </c>
      <c r="H117" s="68">
        <f t="shared" ca="1" si="14"/>
        <v>0.80555555555555369</v>
      </c>
    </row>
    <row r="118" spans="5:8" x14ac:dyDescent="0.2">
      <c r="E118" s="66">
        <f t="shared" si="13"/>
        <v>0.81249999999999811</v>
      </c>
      <c r="F118" s="66">
        <f ca="1">IF(AND(変更依頼シート!$E$9=参照!$D$2,TIMEVALUE(TEXT(E118,"hh:mm"))&lt;TIMEVALUE("0:00")),"",E118)</f>
        <v>0.81249999999999811</v>
      </c>
      <c r="G118" s="67">
        <f t="shared" ca="1" si="12"/>
        <v>118</v>
      </c>
      <c r="H118" s="68">
        <f t="shared" ca="1" si="14"/>
        <v>0.81249999999999811</v>
      </c>
    </row>
    <row r="119" spans="5:8" x14ac:dyDescent="0.2">
      <c r="E119" s="66">
        <f t="shared" si="13"/>
        <v>0.81944444444444253</v>
      </c>
      <c r="F119" s="66">
        <f ca="1">IF(AND(変更依頼シート!$E$9=参照!$D$2,TIMEVALUE(TEXT(E119,"hh:mm"))&lt;TIMEVALUE("0:00")),"",E119)</f>
        <v>0.81944444444444253</v>
      </c>
      <c r="G119" s="67">
        <f t="shared" ca="1" si="12"/>
        <v>119</v>
      </c>
      <c r="H119" s="68">
        <f t="shared" ca="1" si="14"/>
        <v>0.81944444444444253</v>
      </c>
    </row>
    <row r="120" spans="5:8" x14ac:dyDescent="0.2">
      <c r="E120" s="66">
        <f t="shared" si="13"/>
        <v>0.82638888888888695</v>
      </c>
      <c r="F120" s="66">
        <f ca="1">IF(AND(変更依頼シート!$E$9=参照!$D$2,TIMEVALUE(TEXT(E120,"hh:mm"))&lt;TIMEVALUE("0:00")),"",E120)</f>
        <v>0.82638888888888695</v>
      </c>
      <c r="G120" s="67">
        <f t="shared" ca="1" si="12"/>
        <v>120</v>
      </c>
      <c r="H120" s="68">
        <f t="shared" ca="1" si="14"/>
        <v>0.82638888888888695</v>
      </c>
    </row>
    <row r="121" spans="5:8" x14ac:dyDescent="0.2">
      <c r="E121" s="66">
        <f t="shared" si="13"/>
        <v>0.83333333333333137</v>
      </c>
      <c r="F121" s="66">
        <f ca="1">IF(AND(変更依頼シート!$E$9=参照!$D$2,TIMEVALUE(TEXT(E121,"hh:mm"))&lt;TIMEVALUE("0:00")),"",E121)</f>
        <v>0.83333333333333137</v>
      </c>
      <c r="G121" s="67">
        <f t="shared" ca="1" si="12"/>
        <v>121</v>
      </c>
      <c r="H121" s="68">
        <f t="shared" ca="1" si="14"/>
        <v>0.83333333333333137</v>
      </c>
    </row>
    <row r="122" spans="5:8" x14ac:dyDescent="0.2">
      <c r="E122" s="66">
        <f t="shared" si="13"/>
        <v>0.84027777777777579</v>
      </c>
      <c r="F122" s="66">
        <f ca="1">IF(AND(変更依頼シート!$E$9=参照!$D$2,TIMEVALUE(TEXT(E122,"hh:mm"))&lt;TIMEVALUE("0:00")),"",E122)</f>
        <v>0.84027777777777579</v>
      </c>
      <c r="G122" s="67">
        <f t="shared" ca="1" si="12"/>
        <v>122</v>
      </c>
      <c r="H122" s="68">
        <f t="shared" ca="1" si="14"/>
        <v>0.84027777777777579</v>
      </c>
    </row>
    <row r="123" spans="5:8" x14ac:dyDescent="0.2">
      <c r="E123" s="66">
        <f t="shared" si="13"/>
        <v>0.84722222222222021</v>
      </c>
      <c r="F123" s="66">
        <f ca="1">IF(AND(変更依頼シート!$E$9=参照!$D$2,TIMEVALUE(TEXT(E123,"hh:mm"))&lt;TIMEVALUE("0:00")),"",E123)</f>
        <v>0.84722222222222021</v>
      </c>
      <c r="G123" s="67">
        <f t="shared" ca="1" si="12"/>
        <v>123</v>
      </c>
      <c r="H123" s="68">
        <f t="shared" ca="1" si="14"/>
        <v>0.84722222222222021</v>
      </c>
    </row>
    <row r="124" spans="5:8" x14ac:dyDescent="0.2">
      <c r="E124" s="66">
        <f t="shared" si="13"/>
        <v>0.85416666666666463</v>
      </c>
      <c r="F124" s="66">
        <f ca="1">IF(AND(変更依頼シート!$E$9=参照!$D$2,TIMEVALUE(TEXT(E124,"hh:mm"))&lt;TIMEVALUE("0:00")),"",E124)</f>
        <v>0.85416666666666463</v>
      </c>
      <c r="G124" s="67">
        <f t="shared" ca="1" si="12"/>
        <v>124</v>
      </c>
      <c r="H124" s="68">
        <f t="shared" ca="1" si="14"/>
        <v>0.85416666666666463</v>
      </c>
    </row>
    <row r="125" spans="5:8" x14ac:dyDescent="0.2">
      <c r="E125" s="66">
        <f t="shared" si="13"/>
        <v>0.86111111111110905</v>
      </c>
      <c r="F125" s="66">
        <f ca="1">IF(AND(変更依頼シート!$E$9=参照!$D$2,TIMEVALUE(TEXT(E125,"hh:mm"))&lt;TIMEVALUE("0:00")),"",E125)</f>
        <v>0.86111111111110905</v>
      </c>
      <c r="G125" s="67">
        <f t="shared" ca="1" si="12"/>
        <v>125</v>
      </c>
      <c r="H125" s="68">
        <f t="shared" ca="1" si="14"/>
        <v>0.86111111111110905</v>
      </c>
    </row>
    <row r="126" spans="5:8" x14ac:dyDescent="0.2">
      <c r="E126" s="66">
        <f t="shared" si="13"/>
        <v>0.86805555555555347</v>
      </c>
      <c r="F126" s="66">
        <f ca="1">IF(AND(変更依頼シート!$E$9=参照!$D$2,TIMEVALUE(TEXT(E126,"hh:mm"))&lt;TIMEVALUE("0:00")),"",E126)</f>
        <v>0.86805555555555347</v>
      </c>
      <c r="G126" s="67">
        <f t="shared" ca="1" si="12"/>
        <v>126</v>
      </c>
      <c r="H126" s="68">
        <f t="shared" ca="1" si="14"/>
        <v>0.86805555555555347</v>
      </c>
    </row>
    <row r="127" spans="5:8" x14ac:dyDescent="0.2">
      <c r="E127" s="66">
        <f t="shared" si="13"/>
        <v>0.87499999999999789</v>
      </c>
      <c r="F127" s="66">
        <f ca="1">IF(AND(変更依頼シート!$E$9=参照!$D$2,TIMEVALUE(TEXT(E127,"hh:mm"))&lt;TIMEVALUE("0:00")),"",E127)</f>
        <v>0.87499999999999789</v>
      </c>
      <c r="G127" s="67">
        <f t="shared" ca="1" si="12"/>
        <v>127</v>
      </c>
      <c r="H127" s="68">
        <f t="shared" ca="1" si="14"/>
        <v>0.87499999999999789</v>
      </c>
    </row>
    <row r="128" spans="5:8" x14ac:dyDescent="0.2">
      <c r="E128" s="66">
        <f t="shared" si="13"/>
        <v>0.88194444444444231</v>
      </c>
      <c r="F128" s="66">
        <f ca="1">IF(AND(変更依頼シート!$E$9=参照!$D$2,TIMEVALUE(TEXT(E128,"hh:mm"))&lt;TIMEVALUE("0:00")),"",E128)</f>
        <v>0.88194444444444231</v>
      </c>
      <c r="G128" s="67">
        <f t="shared" ca="1" si="12"/>
        <v>128</v>
      </c>
      <c r="H128" s="68">
        <f t="shared" ca="1" si="14"/>
        <v>0.88194444444444231</v>
      </c>
    </row>
    <row r="129" spans="5:8" x14ac:dyDescent="0.2">
      <c r="E129" s="66">
        <f t="shared" si="13"/>
        <v>0.88888888888888673</v>
      </c>
      <c r="F129" s="66">
        <f ca="1">IF(AND(変更依頼シート!$E$9=参照!$D$2,TIMEVALUE(TEXT(E129,"hh:mm"))&lt;TIMEVALUE("0:00")),"",E129)</f>
        <v>0.88888888888888673</v>
      </c>
      <c r="G129" s="67">
        <f t="shared" ca="1" si="12"/>
        <v>129</v>
      </c>
      <c r="H129" s="68">
        <f t="shared" ref="H129:H144" ca="1" si="15">IFERROR(IF(ROW(F129)&gt;COUNTA($F$1:$F$144),"",INDEX($F$1:$F$144,SMALL($G$1:$G$144,ROW(F129)))),"")</f>
        <v>0.88888888888888673</v>
      </c>
    </row>
    <row r="130" spans="5:8" x14ac:dyDescent="0.2">
      <c r="E130" s="66">
        <f t="shared" si="13"/>
        <v>0.89583333333333115</v>
      </c>
      <c r="F130" s="66">
        <f ca="1">IF(AND(変更依頼シート!$E$9=参照!$D$2,TIMEVALUE(TEXT(E130,"hh:mm"))&lt;TIMEVALUE("0:00")),"",E130)</f>
        <v>0.89583333333333115</v>
      </c>
      <c r="G130" s="67">
        <f t="shared" ref="G130:G144" ca="1" si="16">IF(F130="","",ROW())</f>
        <v>130</v>
      </c>
      <c r="H130" s="68">
        <f t="shared" ca="1" si="15"/>
        <v>0.89583333333333115</v>
      </c>
    </row>
    <row r="131" spans="5:8" x14ac:dyDescent="0.2">
      <c r="E131" s="66">
        <f t="shared" ref="E131:E144" si="17">E130+TIMEVALUE("0:10")</f>
        <v>0.90277777777777557</v>
      </c>
      <c r="F131" s="66">
        <f ca="1">IF(AND(変更依頼シート!$E$9=参照!$D$2,TIMEVALUE(TEXT(E131,"hh:mm"))&lt;TIMEVALUE("0:00")),"",E131)</f>
        <v>0.90277777777777557</v>
      </c>
      <c r="G131" s="67">
        <f t="shared" ca="1" si="16"/>
        <v>131</v>
      </c>
      <c r="H131" s="68">
        <f t="shared" ca="1" si="15"/>
        <v>0.90277777777777557</v>
      </c>
    </row>
    <row r="132" spans="5:8" x14ac:dyDescent="0.2">
      <c r="E132" s="66">
        <f t="shared" si="17"/>
        <v>0.90972222222221999</v>
      </c>
      <c r="F132" s="66">
        <f ca="1">IF(AND(変更依頼シート!$E$9=参照!$D$2,TIMEVALUE(TEXT(E132,"hh:mm"))&lt;TIMEVALUE("0:00")),"",E132)</f>
        <v>0.90972222222221999</v>
      </c>
      <c r="G132" s="67">
        <f t="shared" ca="1" si="16"/>
        <v>132</v>
      </c>
      <c r="H132" s="68">
        <f t="shared" ca="1" si="15"/>
        <v>0.90972222222221999</v>
      </c>
    </row>
    <row r="133" spans="5:8" x14ac:dyDescent="0.2">
      <c r="E133" s="66">
        <f t="shared" si="17"/>
        <v>0.91666666666666441</v>
      </c>
      <c r="F133" s="66">
        <f ca="1">IF(AND(変更依頼シート!$E$9=参照!$D$2,TIMEVALUE(TEXT(E133,"hh:mm"))&lt;TIMEVALUE("0:00")),"",E133)</f>
        <v>0.91666666666666441</v>
      </c>
      <c r="G133" s="67">
        <f t="shared" ca="1" si="16"/>
        <v>133</v>
      </c>
      <c r="H133" s="68">
        <f t="shared" ca="1" si="15"/>
        <v>0.91666666666666441</v>
      </c>
    </row>
    <row r="134" spans="5:8" x14ac:dyDescent="0.2">
      <c r="E134" s="66">
        <f t="shared" si="17"/>
        <v>0.92361111111110883</v>
      </c>
      <c r="F134" s="66">
        <f ca="1">IF(AND(変更依頼シート!$E$9=参照!$D$2,TIMEVALUE(TEXT(E134,"hh:mm"))&lt;TIMEVALUE("0:00")),"",E134)</f>
        <v>0.92361111111110883</v>
      </c>
      <c r="G134" s="67">
        <f t="shared" ca="1" si="16"/>
        <v>134</v>
      </c>
      <c r="H134" s="68">
        <f t="shared" ca="1" si="15"/>
        <v>0.92361111111110883</v>
      </c>
    </row>
    <row r="135" spans="5:8" x14ac:dyDescent="0.2">
      <c r="E135" s="66">
        <f t="shared" si="17"/>
        <v>0.93055555555555325</v>
      </c>
      <c r="F135" s="66">
        <f ca="1">IF(AND(変更依頼シート!$E$9=参照!$D$2,TIMEVALUE(TEXT(E135,"hh:mm"))&lt;TIMEVALUE("0:00")),"",E135)</f>
        <v>0.93055555555555325</v>
      </c>
      <c r="G135" s="67">
        <f t="shared" ca="1" si="16"/>
        <v>135</v>
      </c>
      <c r="H135" s="68">
        <f t="shared" ca="1" si="15"/>
        <v>0.93055555555555325</v>
      </c>
    </row>
    <row r="136" spans="5:8" x14ac:dyDescent="0.2">
      <c r="E136" s="66">
        <f t="shared" si="17"/>
        <v>0.93749999999999767</v>
      </c>
      <c r="F136" s="66">
        <f ca="1">IF(AND(変更依頼シート!$E$9=参照!$D$2,TIMEVALUE(TEXT(E136,"hh:mm"))&lt;TIMEVALUE("0:00")),"",E136)</f>
        <v>0.93749999999999767</v>
      </c>
      <c r="G136" s="67">
        <f t="shared" ca="1" si="16"/>
        <v>136</v>
      </c>
      <c r="H136" s="68">
        <f t="shared" ca="1" si="15"/>
        <v>0.93749999999999767</v>
      </c>
    </row>
    <row r="137" spans="5:8" x14ac:dyDescent="0.2">
      <c r="E137" s="66">
        <f t="shared" si="17"/>
        <v>0.94444444444444209</v>
      </c>
      <c r="F137" s="66">
        <f ca="1">IF(AND(変更依頼シート!$E$9=参照!$D$2,TIMEVALUE(TEXT(E137,"hh:mm"))&lt;TIMEVALUE("0:00")),"",E137)</f>
        <v>0.94444444444444209</v>
      </c>
      <c r="G137" s="67">
        <f t="shared" ca="1" si="16"/>
        <v>137</v>
      </c>
      <c r="H137" s="68">
        <f t="shared" ca="1" si="15"/>
        <v>0.94444444444444209</v>
      </c>
    </row>
    <row r="138" spans="5:8" x14ac:dyDescent="0.2">
      <c r="E138" s="66">
        <f t="shared" si="17"/>
        <v>0.95138888888888651</v>
      </c>
      <c r="F138" s="66">
        <f ca="1">IF(AND(変更依頼シート!$E$9=参照!$D$2,TIMEVALUE(TEXT(E138,"hh:mm"))&lt;TIMEVALUE("0:00")),"",E138)</f>
        <v>0.95138888888888651</v>
      </c>
      <c r="G138" s="67">
        <f t="shared" ca="1" si="16"/>
        <v>138</v>
      </c>
      <c r="H138" s="68">
        <f t="shared" ca="1" si="15"/>
        <v>0.95138888888888651</v>
      </c>
    </row>
    <row r="139" spans="5:8" x14ac:dyDescent="0.2">
      <c r="E139" s="66">
        <f t="shared" si="17"/>
        <v>0.95833333333333093</v>
      </c>
      <c r="F139" s="66">
        <f ca="1">IF(AND(変更依頼シート!$E$9=参照!$D$2,TIMEVALUE(TEXT(E139,"hh:mm"))&lt;TIMEVALUE("0:00")),"",E139)</f>
        <v>0.95833333333333093</v>
      </c>
      <c r="G139" s="67">
        <f t="shared" ca="1" si="16"/>
        <v>139</v>
      </c>
      <c r="H139" s="68">
        <f t="shared" ca="1" si="15"/>
        <v>0.95833333333333093</v>
      </c>
    </row>
    <row r="140" spans="5:8" x14ac:dyDescent="0.2">
      <c r="E140" s="66">
        <f t="shared" si="17"/>
        <v>0.96527777777777535</v>
      </c>
      <c r="F140" s="66">
        <f ca="1">IF(AND(変更依頼シート!$E$9=参照!$D$2,TIMEVALUE(TEXT(E140,"hh:mm"))&lt;TIMEVALUE("0:00")),"",E140)</f>
        <v>0.96527777777777535</v>
      </c>
      <c r="G140" s="67">
        <f t="shared" ca="1" si="16"/>
        <v>140</v>
      </c>
      <c r="H140" s="68">
        <f t="shared" ca="1" si="15"/>
        <v>0.96527777777777535</v>
      </c>
    </row>
    <row r="141" spans="5:8" x14ac:dyDescent="0.2">
      <c r="E141" s="66">
        <f t="shared" si="17"/>
        <v>0.97222222222221977</v>
      </c>
      <c r="F141" s="66">
        <f ca="1">IF(AND(変更依頼シート!$E$9=参照!$D$2,TIMEVALUE(TEXT(E141,"hh:mm"))&lt;TIMEVALUE("0:00")),"",E141)</f>
        <v>0.97222222222221977</v>
      </c>
      <c r="G141" s="67">
        <f t="shared" ca="1" si="16"/>
        <v>141</v>
      </c>
      <c r="H141" s="68">
        <f t="shared" ca="1" si="15"/>
        <v>0.97222222222221977</v>
      </c>
    </row>
    <row r="142" spans="5:8" x14ac:dyDescent="0.2">
      <c r="E142" s="66">
        <f t="shared" si="17"/>
        <v>0.97916666666666419</v>
      </c>
      <c r="F142" s="66">
        <f ca="1">IF(AND(変更依頼シート!$E$9=参照!$D$2,TIMEVALUE(TEXT(E142,"hh:mm"))&lt;TIMEVALUE("0:00")),"",E142)</f>
        <v>0.97916666666666419</v>
      </c>
      <c r="G142" s="67">
        <f t="shared" ca="1" si="16"/>
        <v>142</v>
      </c>
      <c r="H142" s="68">
        <f t="shared" ca="1" si="15"/>
        <v>0.97916666666666419</v>
      </c>
    </row>
    <row r="143" spans="5:8" x14ac:dyDescent="0.2">
      <c r="E143" s="66">
        <f t="shared" si="17"/>
        <v>0.98611111111110861</v>
      </c>
      <c r="F143" s="66">
        <f ca="1">IF(AND(変更依頼シート!$E$9=参照!$D$2,TIMEVALUE(TEXT(E143,"hh:mm"))&lt;TIMEVALUE("0:00")),"",E143)</f>
        <v>0.98611111111110861</v>
      </c>
      <c r="G143" s="67">
        <f t="shared" ca="1" si="16"/>
        <v>143</v>
      </c>
      <c r="H143" s="68">
        <f t="shared" ca="1" si="15"/>
        <v>0.98611111111110861</v>
      </c>
    </row>
    <row r="144" spans="5:8" x14ac:dyDescent="0.2">
      <c r="E144" s="66">
        <f t="shared" si="17"/>
        <v>0.99305555555555303</v>
      </c>
      <c r="F144" s="66">
        <f ca="1">IF(AND(変更依頼シート!$E$9=参照!$D$2,TIMEVALUE(TEXT(E144,"hh:mm"))&lt;TIMEVALUE("0:00")),"",E144)</f>
        <v>0.99305555555555303</v>
      </c>
      <c r="G144" s="67">
        <f t="shared" ca="1" si="16"/>
        <v>144</v>
      </c>
      <c r="H144" s="68">
        <f t="shared" ca="1" si="15"/>
        <v>0.99305555555555303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変更依頼シート</vt:lpstr>
      <vt:lpstr>【見本】</vt:lpstr>
      <vt:lpstr>参照</vt:lpstr>
      <vt:lpstr>【見本】!Print_Area</vt:lpstr>
      <vt:lpstr>変更依頼シート!Print_Area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2017-04-05T11:09:00Z</dcterms:created>
  <dcterms:modified xsi:type="dcterms:W3CDTF">2021-04-09T06:53:27Z</dcterms:modified>
</cp:coreProperties>
</file>